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Volumes/common/CTTC ASSESSMENT/G Drive/ot/Research Files/VENDORS/AIRPORT Passenger Traffic/2020/12-December/"/>
    </mc:Choice>
  </mc:AlternateContent>
  <xr:revisionPtr revIDLastSave="0" documentId="13_ncr:1_{27EC201D-7D48-FC4B-AFEE-382610F29A1F}" xr6:coauthVersionLast="36" xr6:coauthVersionMax="36" xr10:uidLastSave="{00000000-0000-0000-0000-000000000000}"/>
  <bookViews>
    <workbookView xWindow="20" yWindow="460" windowWidth="21080" windowHeight="19200" tabRatio="913" xr2:uid="{00000000-000D-0000-FFFF-FFFF00000000}"/>
  </bookViews>
  <sheets>
    <sheet name="CA Totals" sheetId="14" r:id="rId1"/>
    <sheet name="Los Angeles" sheetId="2" r:id="rId2"/>
    <sheet name="Burbank" sheetId="1" r:id="rId3"/>
    <sheet name="Long Beach" sheetId="3" r:id="rId4"/>
    <sheet name="Ontario" sheetId="5" r:id="rId5"/>
    <sheet name="Orange County" sheetId="10" r:id="rId6"/>
    <sheet name="Oakland" sheetId="4" r:id="rId7"/>
    <sheet name="Sacramento" sheetId="6" r:id="rId8"/>
    <sheet name="San Diego" sheetId="7" r:id="rId9"/>
    <sheet name="San Jose" sheetId="8" r:id="rId10"/>
    <sheet name="San Francisco" sheetId="9" r:id="rId11"/>
    <sheet name="High Low stats" sheetId="12" state="hidden" r:id="rId12"/>
  </sheets>
  <definedNames>
    <definedName name="_xlnm.Print_Area" localSheetId="2">Burbank!$A$1:$M$21</definedName>
    <definedName name="_xlnm.Print_Area" localSheetId="0">'CA Totals'!$A$1:$M$33</definedName>
    <definedName name="_xlnm.Print_Area" localSheetId="11">'High Low stats'!$A$3:$I$46</definedName>
    <definedName name="_xlnm.Print_Area" localSheetId="3">'Long Beach'!$A$1:$L$21</definedName>
    <definedName name="_xlnm.Print_Area" localSheetId="1">'Los Angeles'!$A$1:$M$21</definedName>
    <definedName name="_xlnm.Print_Area" localSheetId="6">Oakland!$A$1:$L$21</definedName>
    <definedName name="_xlnm.Print_Area" localSheetId="4">Ontario!$A$1:$M$21</definedName>
    <definedName name="_xlnm.Print_Area" localSheetId="5">'Orange County'!$A$1:$M$21</definedName>
    <definedName name="_xlnm.Print_Area" localSheetId="7">Sacramento!$A$1:$M$21</definedName>
    <definedName name="_xlnm.Print_Area" localSheetId="10">'San Francisco'!$A$1:$M$21</definedName>
    <definedName name="_xlnm.Print_Area" localSheetId="9">'San Jose'!$A$1:$M$21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8" i="14" l="1"/>
  <c r="K18" i="14"/>
  <c r="G18" i="14"/>
  <c r="F18" i="14"/>
  <c r="C18" i="14"/>
  <c r="C18" i="8" l="1"/>
  <c r="K18" i="8"/>
  <c r="G18" i="8"/>
  <c r="K18" i="4"/>
  <c r="G18" i="4"/>
  <c r="C18" i="4"/>
  <c r="F17" i="4"/>
  <c r="B17" i="8"/>
  <c r="B16" i="8"/>
  <c r="J17" i="8"/>
  <c r="F17" i="8"/>
  <c r="C18" i="5" l="1"/>
  <c r="C18" i="10"/>
  <c r="K18" i="10"/>
  <c r="G18" i="10"/>
  <c r="F18" i="4"/>
  <c r="B18" i="4"/>
  <c r="B18" i="6"/>
  <c r="C18" i="6"/>
  <c r="G18" i="6"/>
  <c r="K18" i="6"/>
  <c r="C18" i="7"/>
  <c r="G18" i="7"/>
  <c r="K18" i="7"/>
  <c r="K18" i="9"/>
  <c r="G18" i="9"/>
  <c r="C18" i="9"/>
  <c r="B17" i="9"/>
  <c r="B17" i="7"/>
  <c r="B17" i="6"/>
  <c r="J17" i="6"/>
  <c r="F17" i="6"/>
  <c r="K18" i="5"/>
  <c r="G18" i="5"/>
  <c r="B18" i="5"/>
  <c r="F17" i="5"/>
  <c r="G17" i="5"/>
  <c r="B17" i="2"/>
  <c r="C17" i="2"/>
  <c r="F18" i="9" l="1"/>
  <c r="B18" i="9"/>
  <c r="F18" i="3" l="1"/>
  <c r="G18" i="3"/>
  <c r="C18" i="1"/>
  <c r="F18" i="1"/>
  <c r="G18" i="1"/>
  <c r="K18" i="2"/>
  <c r="J18" i="2"/>
  <c r="G18" i="2"/>
  <c r="F18" i="2"/>
  <c r="C18" i="2"/>
  <c r="B18" i="2"/>
  <c r="J18" i="9"/>
  <c r="J16" i="8"/>
  <c r="F16" i="8"/>
  <c r="C18" i="3"/>
  <c r="J18" i="7"/>
  <c r="B16" i="6"/>
  <c r="J16" i="6"/>
  <c r="F16" i="6"/>
  <c r="F16" i="4"/>
  <c r="F18" i="5"/>
  <c r="J18" i="5"/>
  <c r="K16" i="5"/>
  <c r="F16" i="5"/>
  <c r="D16" i="3"/>
  <c r="B18" i="1"/>
  <c r="B9" i="1"/>
  <c r="B16" i="2"/>
  <c r="F15" i="8" l="1"/>
  <c r="J15" i="8"/>
  <c r="F14" i="8"/>
  <c r="F15" i="6"/>
  <c r="J15" i="6"/>
  <c r="J14" i="6"/>
  <c r="F14" i="6"/>
  <c r="F15" i="5"/>
  <c r="F15" i="4"/>
  <c r="F14" i="4"/>
  <c r="B15" i="2"/>
  <c r="J18" i="10" l="1"/>
  <c r="F18" i="6"/>
  <c r="F13" i="4" l="1"/>
  <c r="J18" i="8"/>
  <c r="J14" i="8"/>
  <c r="F13" i="8"/>
  <c r="F13" i="6"/>
  <c r="J13" i="6"/>
  <c r="F14" i="5"/>
  <c r="B14" i="2" l="1"/>
  <c r="B13" i="2" l="1"/>
  <c r="J13" i="14" l="1"/>
  <c r="F18" i="8" l="1"/>
  <c r="B18" i="8"/>
  <c r="F18" i="7"/>
  <c r="B18" i="7"/>
  <c r="J18" i="6"/>
  <c r="J18" i="4"/>
  <c r="B18" i="3"/>
  <c r="B13" i="8"/>
  <c r="B12" i="8"/>
  <c r="J13" i="8"/>
  <c r="B13" i="9"/>
  <c r="B13" i="6"/>
  <c r="F12" i="6"/>
  <c r="F12" i="4"/>
  <c r="F13" i="5"/>
  <c r="B12" i="6" l="1"/>
  <c r="J12" i="6"/>
  <c r="B11" i="8" l="1"/>
  <c r="J12" i="8"/>
  <c r="F12" i="8"/>
  <c r="D12" i="4"/>
  <c r="D11" i="4"/>
  <c r="F12" i="5"/>
  <c r="F11" i="5"/>
  <c r="B12" i="2" l="1"/>
  <c r="C12" i="2"/>
  <c r="F11" i="14" l="1"/>
  <c r="J11" i="8" l="1"/>
  <c r="F11" i="8"/>
  <c r="B11" i="7" l="1"/>
  <c r="B10" i="7"/>
  <c r="B11" i="6"/>
  <c r="J11" i="6"/>
  <c r="F11" i="6"/>
  <c r="J7" i="5"/>
  <c r="B10" i="8" l="1"/>
  <c r="F10" i="8"/>
  <c r="B10" i="1" l="1"/>
  <c r="B10" i="6" l="1"/>
  <c r="F10" i="6"/>
  <c r="B9" i="2"/>
  <c r="B10" i="2"/>
  <c r="C10" i="2"/>
  <c r="B9" i="3" l="1"/>
  <c r="B9" i="9" l="1"/>
  <c r="B9" i="8"/>
  <c r="J9" i="8"/>
  <c r="F9" i="8"/>
  <c r="B9" i="7" l="1"/>
  <c r="B9" i="10"/>
  <c r="B18" i="10" s="1"/>
  <c r="B9" i="6"/>
  <c r="J9" i="6"/>
  <c r="F9" i="6"/>
  <c r="B9" i="4"/>
  <c r="B9" i="5"/>
  <c r="K6" i="6" l="1"/>
  <c r="G8" i="6"/>
  <c r="G7" i="6"/>
  <c r="G6" i="6"/>
  <c r="B8" i="7" l="1"/>
  <c r="C17" i="3" l="1"/>
  <c r="C16" i="3"/>
  <c r="C15" i="3"/>
  <c r="C14" i="3"/>
  <c r="C13" i="3"/>
  <c r="C12" i="3"/>
  <c r="C11" i="3"/>
  <c r="C10" i="3"/>
  <c r="C9" i="3"/>
  <c r="C8" i="3"/>
  <c r="C7" i="3"/>
  <c r="C6" i="3"/>
  <c r="B8" i="3"/>
  <c r="B7" i="3"/>
  <c r="B6" i="3"/>
  <c r="D7" i="3" l="1"/>
  <c r="F8" i="5" l="1"/>
  <c r="B8" i="8" l="1"/>
  <c r="F8" i="8"/>
  <c r="J8" i="8"/>
  <c r="F6" i="4" l="1"/>
  <c r="F7" i="4"/>
  <c r="F8" i="4"/>
  <c r="B7" i="8" l="1"/>
  <c r="J7" i="8"/>
  <c r="F7" i="8"/>
  <c r="F8" i="10"/>
  <c r="F6" i="10"/>
  <c r="F18" i="10" s="1"/>
  <c r="F7" i="10"/>
  <c r="J8" i="5"/>
  <c r="B8" i="9" l="1"/>
  <c r="B8" i="6"/>
  <c r="J8" i="6"/>
  <c r="F8" i="6"/>
  <c r="J7" i="6"/>
  <c r="F7" i="6"/>
  <c r="B7" i="6" s="1"/>
  <c r="J6" i="5"/>
  <c r="F7" i="5"/>
  <c r="B7" i="9" l="1"/>
  <c r="B7" i="7"/>
  <c r="B8" i="1" l="1"/>
  <c r="B7" i="1"/>
  <c r="B6" i="1"/>
  <c r="C6" i="1"/>
  <c r="J6" i="6" l="1"/>
  <c r="F6" i="6"/>
  <c r="B6" i="6" l="1"/>
  <c r="B6" i="9"/>
  <c r="J6" i="8" l="1"/>
  <c r="F6" i="8"/>
  <c r="B6" i="7"/>
  <c r="F6" i="5"/>
  <c r="G6" i="5"/>
  <c r="K13" i="5"/>
  <c r="K6" i="5"/>
  <c r="B6" i="8" l="1"/>
  <c r="B6" i="2"/>
  <c r="F6" i="14"/>
  <c r="C6" i="9"/>
  <c r="C7" i="9"/>
  <c r="C8" i="9"/>
  <c r="C9" i="9"/>
  <c r="C10" i="9"/>
  <c r="C11" i="9"/>
  <c r="C12" i="9"/>
  <c r="C13" i="9"/>
  <c r="C14" i="9"/>
  <c r="C15" i="9"/>
  <c r="C16" i="9"/>
  <c r="C17" i="9"/>
  <c r="K6" i="8"/>
  <c r="K7" i="8"/>
  <c r="K8" i="8"/>
  <c r="K9" i="8"/>
  <c r="K9" i="14" s="1"/>
  <c r="K10" i="8"/>
  <c r="C10" i="8" s="1"/>
  <c r="K11" i="8"/>
  <c r="K12" i="8"/>
  <c r="K13" i="8"/>
  <c r="K14" i="8"/>
  <c r="K15" i="8"/>
  <c r="K16" i="8"/>
  <c r="C16" i="8" s="1"/>
  <c r="K17" i="8"/>
  <c r="C17" i="8" s="1"/>
  <c r="G6" i="8"/>
  <c r="C6" i="8" s="1"/>
  <c r="G7" i="8"/>
  <c r="C7" i="8" s="1"/>
  <c r="G8" i="8"/>
  <c r="G9" i="8"/>
  <c r="G10" i="8"/>
  <c r="G11" i="8"/>
  <c r="G12" i="8"/>
  <c r="G13" i="8"/>
  <c r="G14" i="8"/>
  <c r="C14" i="8" s="1"/>
  <c r="G15" i="8"/>
  <c r="G16" i="8"/>
  <c r="G17" i="8"/>
  <c r="C8" i="8"/>
  <c r="C15" i="8"/>
  <c r="C6" i="7"/>
  <c r="C7" i="7"/>
  <c r="C8" i="7"/>
  <c r="C9" i="7"/>
  <c r="C10" i="7"/>
  <c r="C11" i="7"/>
  <c r="C12" i="7"/>
  <c r="C13" i="7"/>
  <c r="C14" i="7"/>
  <c r="C15" i="7"/>
  <c r="C16" i="7"/>
  <c r="C17" i="7"/>
  <c r="K7" i="6"/>
  <c r="K7" i="14" s="1"/>
  <c r="K8" i="6"/>
  <c r="K9" i="6"/>
  <c r="K10" i="6"/>
  <c r="K11" i="6"/>
  <c r="K12" i="6"/>
  <c r="K13" i="6"/>
  <c r="G13" i="6" s="1"/>
  <c r="K14" i="6"/>
  <c r="K15" i="6"/>
  <c r="K16" i="6"/>
  <c r="K17" i="6"/>
  <c r="G9" i="6"/>
  <c r="C9" i="6" s="1"/>
  <c r="G10" i="6"/>
  <c r="G11" i="6"/>
  <c r="C11" i="6" s="1"/>
  <c r="G12" i="6"/>
  <c r="G14" i="6"/>
  <c r="G15" i="6"/>
  <c r="C15" i="6" s="1"/>
  <c r="G16" i="6"/>
  <c r="C16" i="6" s="1"/>
  <c r="G17" i="6"/>
  <c r="C8" i="6"/>
  <c r="C10" i="6"/>
  <c r="C14" i="6"/>
  <c r="C17" i="6"/>
  <c r="G6" i="4"/>
  <c r="G7" i="4"/>
  <c r="G8" i="4"/>
  <c r="G9" i="4"/>
  <c r="G10" i="4"/>
  <c r="G11" i="4"/>
  <c r="G12" i="4"/>
  <c r="G13" i="4"/>
  <c r="G14" i="4"/>
  <c r="G15" i="4"/>
  <c r="G16" i="4"/>
  <c r="G17" i="4"/>
  <c r="G9" i="10"/>
  <c r="G10" i="10"/>
  <c r="G11" i="10"/>
  <c r="G12" i="10"/>
  <c r="G13" i="10"/>
  <c r="G14" i="10"/>
  <c r="G15" i="10"/>
  <c r="G16" i="10"/>
  <c r="G17" i="10"/>
  <c r="K7" i="5"/>
  <c r="K8" i="5"/>
  <c r="K9" i="5"/>
  <c r="K10" i="5"/>
  <c r="G10" i="5" s="1"/>
  <c r="K11" i="5"/>
  <c r="G11" i="5" s="1"/>
  <c r="K12" i="5"/>
  <c r="G12" i="5" s="1"/>
  <c r="G13" i="5"/>
  <c r="K14" i="5"/>
  <c r="G14" i="5" s="1"/>
  <c r="K15" i="5"/>
  <c r="G15" i="5" s="1"/>
  <c r="K16" i="14"/>
  <c r="K17" i="5"/>
  <c r="K17" i="14" s="1"/>
  <c r="G7" i="5"/>
  <c r="G8" i="5"/>
  <c r="G9" i="5"/>
  <c r="C7" i="1"/>
  <c r="C8" i="1"/>
  <c r="C9" i="1"/>
  <c r="C11" i="1"/>
  <c r="C13" i="1"/>
  <c r="C14" i="1"/>
  <c r="C15" i="1"/>
  <c r="C16" i="1"/>
  <c r="C17" i="1"/>
  <c r="C6" i="2"/>
  <c r="C7" i="2"/>
  <c r="C8" i="2"/>
  <c r="C9" i="2"/>
  <c r="C11" i="2"/>
  <c r="C13" i="2"/>
  <c r="C14" i="2"/>
  <c r="C15" i="2"/>
  <c r="C16" i="2"/>
  <c r="K8" i="14"/>
  <c r="K14" i="14"/>
  <c r="K15" i="14"/>
  <c r="K11" i="14" l="1"/>
  <c r="C7" i="6"/>
  <c r="G16" i="5"/>
  <c r="C9" i="8"/>
  <c r="C6" i="6"/>
  <c r="K6" i="14"/>
  <c r="C13" i="8"/>
  <c r="C12" i="8"/>
  <c r="C11" i="8"/>
  <c r="C12" i="6"/>
  <c r="K13" i="14"/>
  <c r="K12" i="14"/>
  <c r="K10" i="14"/>
  <c r="J6" i="14"/>
  <c r="J7" i="14"/>
  <c r="J8" i="14"/>
  <c r="J9" i="14"/>
  <c r="J10" i="14"/>
  <c r="J11" i="14"/>
  <c r="B11" i="14" s="1"/>
  <c r="J12" i="14"/>
  <c r="J14" i="14"/>
  <c r="J15" i="14"/>
  <c r="J16" i="14"/>
  <c r="J17" i="14"/>
  <c r="F7" i="14"/>
  <c r="F8" i="14"/>
  <c r="F9" i="14"/>
  <c r="F10" i="14"/>
  <c r="F12" i="14"/>
  <c r="F13" i="14"/>
  <c r="B13" i="14" s="1"/>
  <c r="F14" i="14"/>
  <c r="F15" i="14"/>
  <c r="F16" i="14"/>
  <c r="F17" i="14"/>
  <c r="J18" i="14" l="1"/>
  <c r="B17" i="14"/>
  <c r="B6" i="14"/>
  <c r="B15" i="14"/>
  <c r="B14" i="14"/>
  <c r="B16" i="14"/>
  <c r="B9" i="14"/>
  <c r="B12" i="14"/>
  <c r="B10" i="14"/>
  <c r="B8" i="14"/>
  <c r="B7" i="14"/>
  <c r="L15" i="4" l="1"/>
  <c r="L18" i="5" l="1"/>
  <c r="H18" i="2"/>
  <c r="H18" i="1" l="1"/>
  <c r="D12" i="9"/>
  <c r="D12" i="2"/>
  <c r="D10" i="2"/>
  <c r="D11" i="2"/>
  <c r="L18" i="4"/>
  <c r="G7" i="14"/>
  <c r="C7" i="14" s="1"/>
  <c r="G8" i="14"/>
  <c r="G9" i="14"/>
  <c r="C9" i="14" s="1"/>
  <c r="G10" i="14"/>
  <c r="C10" i="14" s="1"/>
  <c r="G11" i="14"/>
  <c r="C11" i="14" s="1"/>
  <c r="G12" i="14"/>
  <c r="C12" i="14" s="1"/>
  <c r="G13" i="14"/>
  <c r="C13" i="14" s="1"/>
  <c r="G14" i="14"/>
  <c r="C14" i="14" s="1"/>
  <c r="G15" i="14"/>
  <c r="C15" i="14" s="1"/>
  <c r="G16" i="14"/>
  <c r="C16" i="14" s="1"/>
  <c r="G17" i="14"/>
  <c r="C17" i="14" s="1"/>
  <c r="H18" i="4"/>
  <c r="L6" i="4"/>
  <c r="H11" i="4"/>
  <c r="L11" i="4"/>
  <c r="L7" i="4"/>
  <c r="L8" i="4"/>
  <c r="L9" i="4"/>
  <c r="L10" i="4"/>
  <c r="L12" i="4"/>
  <c r="L13" i="4"/>
  <c r="L14" i="4"/>
  <c r="L16" i="4"/>
  <c r="L17" i="4"/>
  <c r="L6" i="10"/>
  <c r="L18" i="6"/>
  <c r="L10" i="8"/>
  <c r="H10" i="8"/>
  <c r="D10" i="9"/>
  <c r="L10" i="9"/>
  <c r="L11" i="9"/>
  <c r="H10" i="9"/>
  <c r="D14" i="6"/>
  <c r="D15" i="6"/>
  <c r="D18" i="6"/>
  <c r="B7" i="2"/>
  <c r="H6" i="5"/>
  <c r="L6" i="14"/>
  <c r="L7" i="14"/>
  <c r="L8" i="14"/>
  <c r="L16" i="14"/>
  <c r="H18" i="8"/>
  <c r="L18" i="8"/>
  <c r="D6" i="10"/>
  <c r="L18" i="10"/>
  <c r="D12" i="1"/>
  <c r="D13" i="1"/>
  <c r="D14" i="1"/>
  <c r="D15" i="1"/>
  <c r="D16" i="1"/>
  <c r="B8" i="2"/>
  <c r="D9" i="2"/>
  <c r="D14" i="2"/>
  <c r="D15" i="2"/>
  <c r="D16" i="2"/>
  <c r="L18" i="2"/>
  <c r="L6" i="2"/>
  <c r="L12" i="14"/>
  <c r="H14" i="1"/>
  <c r="L18" i="9"/>
  <c r="D8" i="9"/>
  <c r="D9" i="9"/>
  <c r="D16" i="5"/>
  <c r="D15" i="5"/>
  <c r="D11" i="9"/>
  <c r="D13" i="9"/>
  <c r="D14" i="9"/>
  <c r="D15" i="3"/>
  <c r="D18" i="5"/>
  <c r="D12" i="5"/>
  <c r="D14" i="5"/>
  <c r="D7" i="5"/>
  <c r="H15" i="4"/>
  <c r="D7" i="6"/>
  <c r="D9" i="6"/>
  <c r="D12" i="6"/>
  <c r="D13" i="6"/>
  <c r="D11" i="6"/>
  <c r="D8" i="8"/>
  <c r="D9" i="8"/>
  <c r="D11" i="1"/>
  <c r="L18" i="7"/>
  <c r="H18" i="3"/>
  <c r="L14" i="2"/>
  <c r="D15" i="7"/>
  <c r="D8" i="7"/>
  <c r="D10" i="7"/>
  <c r="D11" i="7"/>
  <c r="D12" i="7"/>
  <c r="D16" i="7"/>
  <c r="H12" i="2"/>
  <c r="D14" i="8"/>
  <c r="D15" i="8"/>
  <c r="H12" i="1"/>
  <c r="L9" i="10"/>
  <c r="L9" i="5"/>
  <c r="H18" i="7"/>
  <c r="L8" i="5"/>
  <c r="L12" i="6"/>
  <c r="L7" i="9"/>
  <c r="L6" i="7"/>
  <c r="H7" i="1"/>
  <c r="H6" i="2"/>
  <c r="L7" i="2"/>
  <c r="L17" i="5"/>
  <c r="L16" i="5"/>
  <c r="L15" i="5"/>
  <c r="L14" i="5"/>
  <c r="L13" i="5"/>
  <c r="L12" i="5"/>
  <c r="L11" i="5"/>
  <c r="L10" i="5"/>
  <c r="L7" i="5"/>
  <c r="L6" i="5"/>
  <c r="H10" i="2"/>
  <c r="H7" i="2"/>
  <c r="H16" i="2"/>
  <c r="D8" i="2"/>
  <c r="H17" i="2"/>
  <c r="H15" i="2"/>
  <c r="H14" i="2"/>
  <c r="H13" i="2"/>
  <c r="H11" i="2"/>
  <c r="H9" i="2"/>
  <c r="H8" i="2"/>
  <c r="L17" i="2"/>
  <c r="L16" i="2"/>
  <c r="L15" i="2"/>
  <c r="L13" i="2"/>
  <c r="L12" i="2"/>
  <c r="L11" i="2"/>
  <c r="L10" i="2"/>
  <c r="L9" i="2"/>
  <c r="L8" i="2"/>
  <c r="D10" i="1"/>
  <c r="H9" i="1"/>
  <c r="H16" i="1"/>
  <c r="H17" i="1"/>
  <c r="H15" i="1"/>
  <c r="H13" i="1"/>
  <c r="H11" i="1"/>
  <c r="H10" i="1"/>
  <c r="H8" i="1"/>
  <c r="H6" i="1"/>
  <c r="H15" i="3"/>
  <c r="H13" i="3"/>
  <c r="D10" i="3"/>
  <c r="H17" i="3"/>
  <c r="H16" i="3"/>
  <c r="H14" i="3"/>
  <c r="H12" i="3"/>
  <c r="H11" i="3"/>
  <c r="H10" i="3"/>
  <c r="H9" i="3"/>
  <c r="H8" i="3"/>
  <c r="H7" i="3"/>
  <c r="H6" i="3"/>
  <c r="H16" i="5"/>
  <c r="D9" i="5"/>
  <c r="D8" i="5"/>
  <c r="H17" i="5"/>
  <c r="H15" i="5"/>
  <c r="H14" i="5"/>
  <c r="H12" i="5"/>
  <c r="H9" i="5"/>
  <c r="H8" i="5"/>
  <c r="H7" i="5"/>
  <c r="L16" i="10"/>
  <c r="L8" i="10"/>
  <c r="L7" i="10"/>
  <c r="L10" i="10"/>
  <c r="L11" i="10"/>
  <c r="L12" i="10"/>
  <c r="L13" i="10"/>
  <c r="L14" i="10"/>
  <c r="L15" i="10"/>
  <c r="L17" i="10"/>
  <c r="H17" i="7"/>
  <c r="H16" i="7"/>
  <c r="H15" i="7"/>
  <c r="H14" i="7"/>
  <c r="H13" i="7"/>
  <c r="H12" i="7"/>
  <c r="H11" i="7"/>
  <c r="H10" i="7"/>
  <c r="H9" i="7"/>
  <c r="H8" i="7"/>
  <c r="H7" i="7"/>
  <c r="H6" i="7"/>
  <c r="L17" i="7"/>
  <c r="L16" i="7"/>
  <c r="L15" i="7"/>
  <c r="L14" i="7"/>
  <c r="L13" i="7"/>
  <c r="L12" i="7"/>
  <c r="L11" i="7"/>
  <c r="L10" i="7"/>
  <c r="L9" i="7"/>
  <c r="L8" i="7"/>
  <c r="L7" i="7"/>
  <c r="H16" i="4"/>
  <c r="H17" i="4"/>
  <c r="H14" i="4"/>
  <c r="H13" i="4"/>
  <c r="H12" i="4"/>
  <c r="H7" i="8"/>
  <c r="H8" i="8"/>
  <c r="H9" i="8"/>
  <c r="H11" i="8"/>
  <c r="H12" i="8"/>
  <c r="H13" i="8"/>
  <c r="H14" i="8"/>
  <c r="H15" i="8"/>
  <c r="H16" i="8"/>
  <c r="H17" i="8"/>
  <c r="L17" i="8"/>
  <c r="L16" i="8"/>
  <c r="L15" i="8"/>
  <c r="L14" i="8"/>
  <c r="L13" i="8"/>
  <c r="L12" i="8"/>
  <c r="L11" i="8"/>
  <c r="L9" i="8"/>
  <c r="L8" i="8"/>
  <c r="L7" i="8"/>
  <c r="L6" i="8"/>
  <c r="H18" i="9"/>
  <c r="H17" i="9"/>
  <c r="H16" i="9"/>
  <c r="H15" i="9"/>
  <c r="H14" i="9"/>
  <c r="H13" i="9"/>
  <c r="H12" i="9"/>
  <c r="H11" i="9"/>
  <c r="H9" i="9"/>
  <c r="H8" i="9"/>
  <c r="H7" i="9"/>
  <c r="H6" i="9"/>
  <c r="L17" i="9"/>
  <c r="L15" i="9"/>
  <c r="L16" i="9"/>
  <c r="L14" i="9"/>
  <c r="L13" i="9"/>
  <c r="L12" i="9"/>
  <c r="L9" i="9"/>
  <c r="L8" i="9"/>
  <c r="L6" i="9"/>
  <c r="H18" i="6"/>
  <c r="H11" i="6"/>
  <c r="H12" i="6"/>
  <c r="H13" i="6"/>
  <c r="H14" i="6"/>
  <c r="H15" i="6"/>
  <c r="H16" i="6"/>
  <c r="H17" i="6"/>
  <c r="H10" i="6"/>
  <c r="L17" i="6"/>
  <c r="L15" i="6"/>
  <c r="L13" i="6"/>
  <c r="L14" i="6"/>
  <c r="L16" i="6"/>
  <c r="L11" i="6"/>
  <c r="L10" i="6"/>
  <c r="L9" i="6"/>
  <c r="H9" i="6"/>
  <c r="H8" i="6"/>
  <c r="L8" i="6"/>
  <c r="L7" i="6"/>
  <c r="H7" i="6"/>
  <c r="D10" i="6"/>
  <c r="D17" i="6"/>
  <c r="L6" i="6"/>
  <c r="H6" i="6"/>
  <c r="H7" i="10"/>
  <c r="D10" i="8"/>
  <c r="H6" i="8"/>
  <c r="D14" i="4"/>
  <c r="D13" i="4"/>
  <c r="D11" i="8"/>
  <c r="D15" i="4"/>
  <c r="D6" i="5"/>
  <c r="D16" i="4"/>
  <c r="D17" i="4"/>
  <c r="D14" i="7"/>
  <c r="D12" i="8"/>
  <c r="D13" i="8"/>
  <c r="D7" i="8"/>
  <c r="D6" i="6"/>
  <c r="D7" i="10"/>
  <c r="H6" i="10"/>
  <c r="D6" i="2"/>
  <c r="D12" i="3"/>
  <c r="D14" i="3"/>
  <c r="D17" i="3"/>
  <c r="D6" i="3"/>
  <c r="D9" i="3"/>
  <c r="D8" i="3"/>
  <c r="D11" i="3"/>
  <c r="D6" i="8"/>
  <c r="D6" i="1"/>
  <c r="D9" i="1"/>
  <c r="D8" i="1"/>
  <c r="D9" i="7"/>
  <c r="L9" i="14"/>
  <c r="D7" i="7"/>
  <c r="D7" i="9"/>
  <c r="D7" i="1"/>
  <c r="H14" i="10"/>
  <c r="H10" i="10"/>
  <c r="D14" i="10"/>
  <c r="H8" i="10"/>
  <c r="H12" i="10"/>
  <c r="H17" i="10"/>
  <c r="H9" i="10"/>
  <c r="D8" i="10"/>
  <c r="H16" i="10"/>
  <c r="D10" i="10"/>
  <c r="D9" i="10"/>
  <c r="D18" i="10"/>
  <c r="D12" i="10"/>
  <c r="D8" i="6"/>
  <c r="H10" i="5"/>
  <c r="D10" i="5"/>
  <c r="D11" i="5"/>
  <c r="H11" i="5"/>
  <c r="H18" i="5"/>
  <c r="D11" i="10"/>
  <c r="H11" i="10"/>
  <c r="H6" i="4"/>
  <c r="D6" i="4"/>
  <c r="D8" i="4"/>
  <c r="D7" i="4"/>
  <c r="D9" i="4"/>
  <c r="D10" i="4"/>
  <c r="D18" i="4"/>
  <c r="H7" i="4"/>
  <c r="H12" i="14" l="1"/>
  <c r="C8" i="14"/>
  <c r="D8" i="14" s="1"/>
  <c r="D18" i="2"/>
  <c r="D7" i="2"/>
  <c r="H8" i="14"/>
  <c r="H8" i="4"/>
  <c r="H9" i="4"/>
  <c r="H10" i="4"/>
  <c r="G6" i="14"/>
  <c r="H18" i="10"/>
  <c r="D17" i="7"/>
  <c r="D18" i="7"/>
  <c r="D17" i="8"/>
  <c r="D18" i="8"/>
  <c r="D17" i="9"/>
  <c r="D18" i="1"/>
  <c r="D17" i="1"/>
  <c r="D17" i="10"/>
  <c r="D17" i="5"/>
  <c r="L18" i="14"/>
  <c r="D17" i="2"/>
  <c r="D16" i="9"/>
  <c r="D16" i="8"/>
  <c r="D16" i="10"/>
  <c r="D16" i="6"/>
  <c r="D15" i="9"/>
  <c r="D6" i="9"/>
  <c r="H17" i="14"/>
  <c r="D18" i="9"/>
  <c r="D10" i="14"/>
  <c r="D11" i="14"/>
  <c r="D9" i="14"/>
  <c r="H16" i="14"/>
  <c r="L11" i="14"/>
  <c r="L10" i="14"/>
  <c r="D17" i="14"/>
  <c r="H10" i="14"/>
  <c r="H7" i="14"/>
  <c r="H11" i="14"/>
  <c r="D6" i="7"/>
  <c r="L17" i="14"/>
  <c r="D7" i="14"/>
  <c r="H9" i="14"/>
  <c r="L15" i="14"/>
  <c r="H14" i="14"/>
  <c r="D13" i="7"/>
  <c r="D13" i="3"/>
  <c r="D18" i="3"/>
  <c r="D13" i="2"/>
  <c r="L14" i="14"/>
  <c r="L13" i="14"/>
  <c r="H6" i="14" l="1"/>
  <c r="C6" i="14"/>
  <c r="D16" i="14"/>
  <c r="D14" i="14"/>
  <c r="D12" i="14"/>
  <c r="D13" i="5"/>
  <c r="H13" i="5"/>
  <c r="D6" i="14" l="1"/>
  <c r="H13" i="10"/>
  <c r="D13" i="10"/>
  <c r="H13" i="14" l="1"/>
  <c r="D13" i="14" l="1"/>
  <c r="H15" i="10"/>
  <c r="D15" i="10"/>
  <c r="H18" i="14" l="1"/>
  <c r="H15" i="14"/>
  <c r="D18" i="14" l="1"/>
  <c r="D15" i="14"/>
</calcChain>
</file>

<file path=xl/sharedStrings.xml><?xml version="1.0" encoding="utf-8"?>
<sst xmlns="http://schemas.openxmlformats.org/spreadsheetml/2006/main" count="265" uniqueCount="55">
  <si>
    <t>Long Beach -LGB</t>
  </si>
  <si>
    <t>Los Angeles - LAX</t>
  </si>
  <si>
    <t>San Francisco- SFO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</si>
  <si>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</si>
  <si>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</si>
  <si>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</si>
  <si>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</si>
  <si>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</si>
  <si>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</si>
  <si>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</si>
  <si>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</si>
  <si>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</si>
  <si>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</si>
  <si>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</si>
  <si>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</si>
  <si>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Domestic</t>
  </si>
  <si>
    <t>International</t>
  </si>
  <si>
    <t>Burbank- Bob Hope</t>
  </si>
  <si>
    <t>Oakland- OAK</t>
  </si>
  <si>
    <t>Ontario-ONT</t>
  </si>
  <si>
    <t>Sacramento-SMF</t>
  </si>
  <si>
    <t>San Diego-SAN</t>
  </si>
  <si>
    <t>San Jose-SJC</t>
  </si>
  <si>
    <t>Orange County Santa Ana/John Wayne- SNA</t>
  </si>
  <si>
    <t>Long Beach-LGB</t>
  </si>
  <si>
    <t>Oakland-OAK</t>
  </si>
  <si>
    <t>San Francisco-SFO</t>
  </si>
  <si>
    <t>Los Angeles-LAX</t>
  </si>
  <si>
    <t>% Chg</t>
  </si>
  <si>
    <t>YTD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</si>
  <si>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</si>
  <si>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i/>
        <sz val="14"/>
        <color theme="9" tint="-0.249977111117893"/>
        <rFont val="Calibri"/>
        <family val="2"/>
        <scheme val="minor"/>
      </rPr>
      <t>Highest</t>
    </r>
    <r>
      <rPr>
        <b/>
        <i/>
        <sz val="14"/>
        <color theme="1"/>
        <rFont val="Calibri"/>
        <family val="2"/>
        <scheme val="minor"/>
      </rPr>
      <t xml:space="preserve"> and</t>
    </r>
    <r>
      <rPr>
        <b/>
        <i/>
        <sz val="14"/>
        <color theme="4" tint="-0.249977111117893"/>
        <rFont val="Calibri"/>
        <family val="2"/>
        <scheme val="minor"/>
      </rPr>
      <t xml:space="preserve"> lowest</t>
    </r>
    <r>
      <rPr>
        <b/>
        <i/>
        <sz val="14"/>
        <color theme="1"/>
        <rFont val="Calibri"/>
        <family val="2"/>
        <scheme val="minor"/>
      </rPr>
      <t xml:space="preserve"> travel months in ranking of busiest to slowest airports</t>
    </r>
  </si>
  <si>
    <t>Highest traveled month:</t>
  </si>
  <si>
    <t>Lowest traveled month:</t>
  </si>
  <si>
    <t>(out of 10 airports)</t>
  </si>
  <si>
    <t>Orange County- SNA</t>
  </si>
  <si>
    <t xml:space="preserve">YTD </t>
  </si>
  <si>
    <t>DATA TO BE COMPILED AT A LATER DATE</t>
  </si>
  <si>
    <t>Source: Long Beach Airport</t>
  </si>
  <si>
    <t>Source: LAWA</t>
  </si>
  <si>
    <t>Source: John Wayne Airport</t>
  </si>
  <si>
    <t>Source: Oakland International Airport</t>
  </si>
  <si>
    <t>Source: Mineta San Jose International Airport</t>
  </si>
  <si>
    <t>Source: San Francisco International Airport</t>
  </si>
  <si>
    <t>Source: Sacramento International Airport</t>
  </si>
  <si>
    <t>Source: San Diego International Airport</t>
  </si>
  <si>
    <t>Source: Bob Hope Airport</t>
  </si>
  <si>
    <t>Sources:  Individual airports</t>
  </si>
  <si>
    <t>Totals</t>
  </si>
  <si>
    <t xml:space="preserve"> </t>
  </si>
  <si>
    <t>Note:  Monthly figures may not sum to YTD totals due to data revisions</t>
  </si>
  <si>
    <t xml:space="preserve">  </t>
  </si>
  <si>
    <t>YTD *</t>
  </si>
  <si>
    <t>Note:  Monthly figures may not sum to YTD totals due to data revisions. Added China direct flights in 2018</t>
  </si>
  <si>
    <t>CALIFORNIA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</si>
</sst>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color theme="9" tint="-0.249977111117893"/>
      <name val="Calibri"/>
      <family val="2"/>
      <scheme val="minor"/>
    </font>
    <font>
      <b/>
      <i/>
      <sz val="14"/>
      <color theme="4" tint="-0.249977111117893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4"/>
      <color theme="1"/>
      <name val="Verdana"/>
      <family val="2"/>
    </font>
    <font>
      <b/>
      <sz val="14"/>
      <color theme="1"/>
      <name val="Verdana"/>
      <family val="2"/>
    </font>
    <font>
      <sz val="14"/>
      <name val="Calibri"/>
      <family val="2"/>
      <scheme val="minor"/>
    </font>
    <font>
      <b/>
      <sz val="20"/>
      <color theme="1"/>
      <name val="Verdana"/>
      <family val="2"/>
    </font>
    <font>
      <u/>
      <sz val="11"/>
      <color theme="10"/>
      <name val="Calibri"/>
      <family val="2"/>
      <scheme val="minor"/>
    </font>
    <font>
      <sz val="14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7C60F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3399"/>
      </left>
      <right style="thin">
        <color rgb="FF003399"/>
      </right>
      <top style="thin">
        <color rgb="FF003399"/>
      </top>
      <bottom style="thin">
        <color rgb="FF003399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16" fillId="0" borderId="0"/>
    <xf numFmtId="0" fontId="22" fillId="0" borderId="0" applyNumberFormat="0" applyFill="0" applyBorder="0" applyAlignment="0" applyProtection="0"/>
    <xf numFmtId="43" fontId="24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0" fillId="0" borderId="0" xfId="0" applyNumberFormat="1"/>
    <xf numFmtId="0" fontId="0" fillId="0" borderId="0" xfId="0" applyFill="1"/>
    <xf numFmtId="0" fontId="5" fillId="0" borderId="4" xfId="0" applyFont="1" applyBorder="1" applyAlignment="1"/>
    <xf numFmtId="0" fontId="5" fillId="0" borderId="0" xfId="0" applyFont="1" applyAlignment="1"/>
    <xf numFmtId="0" fontId="0" fillId="4" borderId="1" xfId="0" applyFont="1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3" fontId="0" fillId="4" borderId="1" xfId="0" applyNumberFormat="1" applyFont="1" applyFill="1" applyBorder="1" applyAlignment="1">
      <alignment horizontal="center"/>
    </xf>
    <xf numFmtId="3" fontId="0" fillId="5" borderId="1" xfId="0" applyNumberFormat="1" applyFont="1" applyFill="1" applyBorder="1" applyAlignment="1">
      <alignment horizontal="center"/>
    </xf>
    <xf numFmtId="3" fontId="4" fillId="4" borderId="1" xfId="0" applyNumberFormat="1" applyFont="1" applyFill="1" applyBorder="1" applyAlignment="1" applyProtection="1">
      <alignment horizontal="center"/>
    </xf>
    <xf numFmtId="37" fontId="4" fillId="5" borderId="1" xfId="0" applyNumberFormat="1" applyFont="1" applyFill="1" applyBorder="1" applyAlignment="1" applyProtection="1">
      <alignment horizontal="center"/>
    </xf>
    <xf numFmtId="3" fontId="0" fillId="4" borderId="3" xfId="0" applyNumberFormat="1" applyFont="1" applyFill="1" applyBorder="1" applyAlignment="1">
      <alignment horizontal="center" wrapText="1"/>
    </xf>
    <xf numFmtId="3" fontId="0" fillId="5" borderId="3" xfId="0" applyNumberFormat="1" applyFont="1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3" fillId="0" borderId="0" xfId="0" applyFont="1"/>
    <xf numFmtId="16" fontId="0" fillId="4" borderId="1" xfId="0" applyNumberFormat="1" applyFont="1" applyFill="1" applyBorder="1"/>
    <xf numFmtId="0" fontId="0" fillId="4" borderId="1" xfId="0" applyFont="1" applyFill="1" applyBorder="1"/>
    <xf numFmtId="0" fontId="0" fillId="5" borderId="1" xfId="0" applyFont="1" applyFill="1" applyBorder="1"/>
    <xf numFmtId="0" fontId="9" fillId="0" borderId="0" xfId="0" applyFont="1"/>
    <xf numFmtId="0" fontId="10" fillId="0" borderId="0" xfId="0" applyFont="1"/>
    <xf numFmtId="0" fontId="9" fillId="0" borderId="4" xfId="0" applyFont="1" applyBorder="1" applyAlignment="1"/>
    <xf numFmtId="0" fontId="9" fillId="0" borderId="0" xfId="0" applyFont="1" applyAlignment="1"/>
    <xf numFmtId="0" fontId="1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2" fillId="0" borderId="0" xfId="0" applyFont="1" applyAlignment="1"/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Border="1"/>
    <xf numFmtId="0" fontId="2" fillId="0" borderId="0" xfId="0" applyFont="1" applyBorder="1"/>
    <xf numFmtId="0" fontId="14" fillId="0" borderId="1" xfId="0" applyFont="1" applyBorder="1" applyAlignment="1">
      <alignment horizontal="center"/>
    </xf>
    <xf numFmtId="0" fontId="14" fillId="0" borderId="0" xfId="0" applyFont="1" applyFill="1" applyBorder="1"/>
    <xf numFmtId="0" fontId="2" fillId="0" borderId="1" xfId="0" applyFont="1" applyBorder="1"/>
    <xf numFmtId="3" fontId="14" fillId="0" borderId="0" xfId="0" applyNumberFormat="1" applyFont="1"/>
    <xf numFmtId="3" fontId="14" fillId="0" borderId="1" xfId="0" applyNumberFormat="1" applyFont="1" applyBorder="1"/>
    <xf numFmtId="164" fontId="14" fillId="0" borderId="1" xfId="0" applyNumberFormat="1" applyFont="1" applyBorder="1"/>
    <xf numFmtId="0" fontId="14" fillId="0" borderId="0" xfId="0" applyFont="1" applyFill="1"/>
    <xf numFmtId="0" fontId="2" fillId="0" borderId="1" xfId="0" applyFont="1" applyFill="1" applyBorder="1"/>
    <xf numFmtId="3" fontId="14" fillId="0" borderId="1" xfId="0" applyNumberFormat="1" applyFont="1" applyFill="1" applyBorder="1"/>
    <xf numFmtId="0" fontId="15" fillId="0" borderId="0" xfId="0" applyFont="1" applyFill="1" applyBorder="1"/>
    <xf numFmtId="0" fontId="2" fillId="3" borderId="1" xfId="0" applyFont="1" applyFill="1" applyBorder="1"/>
    <xf numFmtId="164" fontId="14" fillId="0" borderId="0" xfId="0" applyNumberFormat="1" applyFont="1" applyBorder="1"/>
    <xf numFmtId="3" fontId="14" fillId="0" borderId="5" xfId="0" applyNumberFormat="1" applyFont="1" applyBorder="1"/>
    <xf numFmtId="3" fontId="14" fillId="0" borderId="2" xfId="0" applyNumberFormat="1" applyFont="1" applyBorder="1"/>
    <xf numFmtId="0" fontId="14" fillId="0" borderId="0" xfId="0" applyFont="1" applyAlignment="1">
      <alignment horizontal="center"/>
    </xf>
    <xf numFmtId="3" fontId="0" fillId="0" borderId="0" xfId="0" applyNumberFormat="1" applyFill="1"/>
    <xf numFmtId="0" fontId="14" fillId="2" borderId="0" xfId="0" applyFont="1" applyFill="1"/>
    <xf numFmtId="0" fontId="14" fillId="3" borderId="0" xfId="0" applyFont="1" applyFill="1"/>
    <xf numFmtId="0" fontId="0" fillId="3" borderId="0" xfId="0" applyFill="1"/>
    <xf numFmtId="3" fontId="14" fillId="3" borderId="5" xfId="0" applyNumberFormat="1" applyFont="1" applyFill="1" applyBorder="1"/>
    <xf numFmtId="3" fontId="0" fillId="3" borderId="0" xfId="0" applyNumberFormat="1" applyFill="1"/>
    <xf numFmtId="3" fontId="0" fillId="0" borderId="0" xfId="0" applyNumberFormat="1" applyAlignment="1">
      <alignment horizontal="center"/>
    </xf>
    <xf numFmtId="0" fontId="2" fillId="7" borderId="1" xfId="0" applyFont="1" applyFill="1" applyBorder="1"/>
    <xf numFmtId="0" fontId="14" fillId="7" borderId="1" xfId="0" applyFont="1" applyFill="1" applyBorder="1" applyAlignment="1">
      <alignment horizontal="center"/>
    </xf>
    <xf numFmtId="0" fontId="14" fillId="7" borderId="1" xfId="0" applyFont="1" applyFill="1" applyBorder="1"/>
    <xf numFmtId="3" fontId="14" fillId="7" borderId="1" xfId="0" applyNumberFormat="1" applyFont="1" applyFill="1" applyBorder="1"/>
    <xf numFmtId="164" fontId="14" fillId="7" borderId="1" xfId="0" applyNumberFormat="1" applyFont="1" applyFill="1" applyBorder="1"/>
    <xf numFmtId="0" fontId="14" fillId="10" borderId="1" xfId="0" applyFont="1" applyFill="1" applyBorder="1" applyAlignment="1">
      <alignment horizontal="center"/>
    </xf>
    <xf numFmtId="0" fontId="14" fillId="10" borderId="1" xfId="0" applyFont="1" applyFill="1" applyBorder="1"/>
    <xf numFmtId="3" fontId="14" fillId="10" borderId="1" xfId="0" applyNumberFormat="1" applyFont="1" applyFill="1" applyBorder="1"/>
    <xf numFmtId="164" fontId="14" fillId="10" borderId="1" xfId="0" applyNumberFormat="1" applyFont="1" applyFill="1" applyBorder="1"/>
    <xf numFmtId="0" fontId="18" fillId="0" borderId="0" xfId="0" applyFont="1" applyBorder="1"/>
    <xf numFmtId="0" fontId="18" fillId="0" borderId="0" xfId="0" applyFont="1" applyFill="1" applyBorder="1"/>
    <xf numFmtId="0" fontId="20" fillId="0" borderId="0" xfId="0" applyFont="1"/>
    <xf numFmtId="0" fontId="20" fillId="0" borderId="0" xfId="0" applyFont="1" applyBorder="1"/>
    <xf numFmtId="0" fontId="20" fillId="0" borderId="0" xfId="0" applyFont="1" applyFill="1" applyBorder="1"/>
    <xf numFmtId="0" fontId="20" fillId="2" borderId="0" xfId="0" applyFont="1" applyFill="1"/>
    <xf numFmtId="0" fontId="20" fillId="3" borderId="0" xfId="0" applyFont="1" applyFill="1"/>
    <xf numFmtId="0" fontId="20" fillId="0" borderId="0" xfId="0" applyFont="1" applyFill="1"/>
    <xf numFmtId="0" fontId="14" fillId="12" borderId="1" xfId="0" applyFont="1" applyFill="1" applyBorder="1" applyAlignment="1">
      <alignment horizontal="center"/>
    </xf>
    <xf numFmtId="0" fontId="14" fillId="12" borderId="1" xfId="0" applyFont="1" applyFill="1" applyBorder="1"/>
    <xf numFmtId="3" fontId="14" fillId="12" borderId="1" xfId="0" applyNumberFormat="1" applyFont="1" applyFill="1" applyBorder="1"/>
    <xf numFmtId="164" fontId="14" fillId="12" borderId="1" xfId="0" applyNumberFormat="1" applyFont="1" applyFill="1" applyBorder="1"/>
    <xf numFmtId="0" fontId="22" fillId="0" borderId="0" xfId="2" applyFill="1" applyBorder="1"/>
    <xf numFmtId="3" fontId="14" fillId="3" borderId="1" xfId="0" applyNumberFormat="1" applyFont="1" applyFill="1" applyBorder="1"/>
    <xf numFmtId="3" fontId="23" fillId="0" borderId="1" xfId="0" applyNumberFormat="1" applyFont="1" applyBorder="1"/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/>
    <xf numFmtId="3" fontId="14" fillId="2" borderId="2" xfId="0" applyNumberFormat="1" applyFont="1" applyFill="1" applyBorder="1"/>
    <xf numFmtId="164" fontId="14" fillId="2" borderId="1" xfId="0" applyNumberFormat="1" applyFont="1" applyFill="1" applyBorder="1"/>
    <xf numFmtId="3" fontId="14" fillId="2" borderId="1" xfId="0" applyNumberFormat="1" applyFont="1" applyFill="1" applyBorder="1"/>
    <xf numFmtId="3" fontId="14" fillId="2" borderId="5" xfId="0" applyNumberFormat="1" applyFont="1" applyFill="1" applyBorder="1"/>
    <xf numFmtId="165" fontId="14" fillId="0" borderId="1" xfId="3" applyNumberFormat="1" applyFont="1" applyBorder="1"/>
    <xf numFmtId="165" fontId="14" fillId="7" borderId="1" xfId="3" applyNumberFormat="1" applyFont="1" applyFill="1" applyBorder="1"/>
    <xf numFmtId="165" fontId="14" fillId="12" borderId="1" xfId="3" applyNumberFormat="1" applyFont="1" applyFill="1" applyBorder="1"/>
    <xf numFmtId="165" fontId="14" fillId="10" borderId="1" xfId="3" applyNumberFormat="1" applyFont="1" applyFill="1" applyBorder="1"/>
    <xf numFmtId="3" fontId="25" fillId="0" borderId="1" xfId="0" applyNumberFormat="1" applyFont="1" applyBorder="1"/>
    <xf numFmtId="165" fontId="14" fillId="0" borderId="0" xfId="3" applyNumberFormat="1" applyFont="1"/>
    <xf numFmtId="0" fontId="21" fillId="11" borderId="0" xfId="0" applyFont="1" applyFill="1" applyAlignment="1">
      <alignment horizontal="center" vertical="center"/>
    </xf>
    <xf numFmtId="0" fontId="19" fillId="6" borderId="1" xfId="0" applyFont="1" applyFill="1" applyBorder="1" applyAlignment="1">
      <alignment horizontal="center"/>
    </xf>
    <xf numFmtId="0" fontId="19" fillId="8" borderId="1" xfId="0" applyFont="1" applyFill="1" applyBorder="1" applyAlignment="1">
      <alignment horizontal="center"/>
    </xf>
    <xf numFmtId="0" fontId="19" fillId="9" borderId="1" xfId="0" applyFont="1" applyFill="1" applyBorder="1" applyAlignment="1">
      <alignment horizontal="center"/>
    </xf>
    <xf numFmtId="43" fontId="21" fillId="11" borderId="0" xfId="3" applyFont="1" applyFill="1" applyAlignment="1">
      <alignment horizontal="center" vertical="center"/>
    </xf>
    <xf numFmtId="0" fontId="6" fillId="0" borderId="0" xfId="0" applyFont="1" applyAlignment="1">
      <alignment horizontal="center"/>
    </xf>
  </cellXfs>
  <cellStyles count="4">
    <cellStyle name="Comma" xfId="3" builtinId="3"/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mruColors>
      <color rgb="FFFDF4D3"/>
      <color rgb="FFFDEDA9"/>
      <color rgb="FFF7C60F"/>
      <color rgb="FFF7E131"/>
      <color rgb="FFFFFC00"/>
      <color rgb="FFFFCC66"/>
      <color rgb="FF397DCF"/>
      <color rgb="FFE6AF00"/>
      <color rgb="FFA7FBFF"/>
      <color rgb="FFFBA9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26"/>
  <sheetViews>
    <sheetView tabSelected="1" topLeftCell="B1" zoomScaleNormal="100" zoomScaleSheetLayoutView="90" workbookViewId="0">
      <selection activeCell="I20" sqref="I20"/>
    </sheetView>
  </sheetViews>
  <sheetFormatPr baseColWidth="10" defaultColWidth="8.83203125" defaultRowHeight="19" x14ac:dyDescent="0.25"/>
  <cols>
    <col min="1" max="1" width="13.83203125" style="33" customWidth="1"/>
    <col min="2" max="2" width="16.5" style="33" bestFit="1" customWidth="1"/>
    <col min="3" max="12" width="13.83203125" style="33" customWidth="1"/>
    <col min="14" max="14" width="9.33203125" customWidth="1"/>
  </cols>
  <sheetData>
    <row r="1" spans="1:50" ht="35" customHeight="1" x14ac:dyDescent="0.2">
      <c r="A1" s="94" t="s">
        <v>54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50" ht="15" x14ac:dyDescent="0.2">
      <c r="A2"/>
      <c r="B2"/>
      <c r="C2"/>
      <c r="D2"/>
      <c r="E2"/>
      <c r="F2"/>
      <c r="G2"/>
      <c r="H2"/>
      <c r="I2"/>
      <c r="J2"/>
      <c r="K2"/>
      <c r="L2"/>
    </row>
    <row r="3" spans="1:50" x14ac:dyDescent="0.25">
      <c r="A3" s="34"/>
      <c r="B3" s="95" t="s">
        <v>48</v>
      </c>
      <c r="C3" s="95"/>
      <c r="D3" s="95"/>
      <c r="E3" s="68"/>
      <c r="F3" s="96" t="s">
        <v>15</v>
      </c>
      <c r="G3" s="96"/>
      <c r="H3" s="96"/>
      <c r="I3" s="67"/>
      <c r="J3" s="97" t="s">
        <v>16</v>
      </c>
      <c r="K3" s="97"/>
      <c r="L3" s="97"/>
    </row>
    <row r="4" spans="1:50" x14ac:dyDescent="0.25">
      <c r="A4" s="35"/>
      <c r="B4" s="36">
        <v>2020</v>
      </c>
      <c r="C4" s="36">
        <v>2019</v>
      </c>
      <c r="D4" s="36" t="s">
        <v>28</v>
      </c>
      <c r="E4" s="37"/>
      <c r="F4" s="36">
        <v>2020</v>
      </c>
      <c r="G4" s="36">
        <v>2019</v>
      </c>
      <c r="H4" s="36" t="s">
        <v>28</v>
      </c>
      <c r="I4" s="37"/>
      <c r="J4" s="36">
        <v>2020</v>
      </c>
      <c r="K4" s="36">
        <v>2019</v>
      </c>
      <c r="L4" s="36" t="s">
        <v>28</v>
      </c>
    </row>
    <row r="5" spans="1:50" x14ac:dyDescent="0.25">
      <c r="A5" s="58"/>
      <c r="B5" s="59"/>
      <c r="C5" s="60"/>
      <c r="D5" s="59"/>
      <c r="E5" s="37"/>
      <c r="F5" s="75"/>
      <c r="G5" s="76"/>
      <c r="H5" s="75"/>
      <c r="I5" s="37"/>
      <c r="J5" s="63"/>
      <c r="K5" s="64"/>
      <c r="L5" s="63"/>
    </row>
    <row r="6" spans="1:50" x14ac:dyDescent="0.25">
      <c r="A6" s="38" t="s">
        <v>3</v>
      </c>
      <c r="B6" s="88">
        <f>SUM(F6,J6)</f>
        <v>17927298</v>
      </c>
      <c r="C6" s="88">
        <f>SUM(G6,K6)</f>
        <v>17509241</v>
      </c>
      <c r="D6" s="41">
        <f t="shared" ref="D6:D14" si="0">B6/C6-1</f>
        <v>2.3876363344361939E-2</v>
      </c>
      <c r="E6" s="42"/>
      <c r="F6" s="88">
        <f>'Los Angeles'!F6+Burbank!F6+'Long Beach'!F6+Ontario!F6+'Orange County'!F6+Oakland!F6+Sacramento!F6+'San Diego'!F6+'San Jose'!F6+'San Francisco'!F6</f>
        <v>14409007</v>
      </c>
      <c r="G6" s="88">
        <f>'Los Angeles'!G6+Burbank!G6+'Long Beach'!G6+Ontario!G6+'Orange County'!G6+Oakland!G6+Sacramento!G6+'San Diego'!G6+'San Jose'!G6+'San Francisco'!G6</f>
        <v>14014502</v>
      </c>
      <c r="H6" s="41">
        <f>F6/G6-1</f>
        <v>2.8149769431693006E-2</v>
      </c>
      <c r="I6" s="37"/>
      <c r="J6" s="88">
        <f>'Los Angeles'!J6+Ontario!J6+'Orange County'!J6+Oakland!J6+Sacramento!J6+'San Diego'!J6+'San Jose'!J6+'San Francisco'!J6</f>
        <v>3518291</v>
      </c>
      <c r="K6" s="88">
        <f>'Los Angeles'!K6+Ontario!K6+'Orange County'!K6+Oakland!K6+Sacramento!K6+'San Diego'!K6+'San Jose'!K6+'San Francisco'!K6</f>
        <v>3494739</v>
      </c>
      <c r="L6" s="41">
        <f>J6/K6-1</f>
        <v>6.7392729471356105E-3</v>
      </c>
    </row>
    <row r="7" spans="1:50" x14ac:dyDescent="0.25">
      <c r="A7" s="58" t="s">
        <v>4</v>
      </c>
      <c r="B7" s="89">
        <f t="shared" ref="B7:B17" si="1">SUM(F7,J7)</f>
        <v>16150142</v>
      </c>
      <c r="C7" s="89">
        <f t="shared" ref="C7:C16" si="2">SUM(G7,K7)</f>
        <v>16048966</v>
      </c>
      <c r="D7" s="62">
        <f t="shared" si="0"/>
        <v>6.3042067632270715E-3</v>
      </c>
      <c r="E7" s="42"/>
      <c r="F7" s="90">
        <f>'Los Angeles'!F7+Burbank!F7+'Long Beach'!F7+Ontario!F7+'Orange County'!F7+Oakland!F7+Sacramento!F7+'San Diego'!F7+'San Jose'!F7+'San Francisco'!F7</f>
        <v>13509201</v>
      </c>
      <c r="G7" s="90">
        <f>'Los Angeles'!G7+Burbank!G7+'Long Beach'!G7+Ontario!G7+'Orange County'!G7+Oakland!G7+Sacramento!G7+'San Diego'!G7+'San Jose'!G7+'San Francisco'!G7</f>
        <v>13100720</v>
      </c>
      <c r="H7" s="78">
        <f>F7/G7-1</f>
        <v>3.1180042012957987E-2</v>
      </c>
      <c r="I7" s="42"/>
      <c r="J7" s="91">
        <f>'Los Angeles'!J7+Ontario!J7+'Orange County'!J7+Oakland!J7+Sacramento!J7+'San Diego'!J7+'San Jose'!J7+'San Francisco'!J7</f>
        <v>2640941</v>
      </c>
      <c r="K7" s="91">
        <f>'Los Angeles'!K7+Ontario!K7+'Orange County'!K7+Oakland!K7+Sacramento!K7+'San Diego'!K7+'San Jose'!K7+'San Francisco'!K7</f>
        <v>2948246</v>
      </c>
      <c r="L7" s="66">
        <f t="shared" ref="L7:L17" si="3">J7/K7-1</f>
        <v>-0.10423316100488222</v>
      </c>
      <c r="N7" s="5"/>
      <c r="O7" s="5"/>
    </row>
    <row r="8" spans="1:50" s="6" customFormat="1" x14ac:dyDescent="0.25">
      <c r="A8" s="43" t="s">
        <v>5</v>
      </c>
      <c r="B8" s="88">
        <f t="shared" si="1"/>
        <v>8520466</v>
      </c>
      <c r="C8" s="88">
        <f t="shared" si="2"/>
        <v>19545437</v>
      </c>
      <c r="D8" s="41">
        <f>B8/C8-1</f>
        <v>-0.56406879007105348</v>
      </c>
      <c r="E8" s="42"/>
      <c r="F8" s="88">
        <f>'Los Angeles'!F8+Burbank!F8+'Long Beach'!F8+Ontario!F8+'Orange County'!F8+Oakland!F8+Sacramento!F8+'San Diego'!F8+'San Jose'!F8+'San Francisco'!F8</f>
        <v>7052175</v>
      </c>
      <c r="G8" s="88">
        <f>'Los Angeles'!G8+Burbank!G8+'Long Beach'!G8+Ontario!G8+'Orange County'!G8+Oakland!G8+Sacramento!G8+'San Diego'!G8+'San Jose'!G8+'San Francisco'!G8</f>
        <v>16082812</v>
      </c>
      <c r="H8" s="41">
        <f>F8/G8-1</f>
        <v>-0.56150858444406371</v>
      </c>
      <c r="I8" s="42"/>
      <c r="J8" s="88">
        <f>'Los Angeles'!J8+Ontario!J8+'Orange County'!J8+Oakland!J8+Sacramento!J8+'San Diego'!J8+'San Jose'!J8+'San Francisco'!J8</f>
        <v>1468291</v>
      </c>
      <c r="K8" s="88">
        <f>'Los Angeles'!K8+Ontario!K8+'Orange County'!K8+Oakland!K8+Sacramento!K8+'San Diego'!K8+'San Jose'!K8+'San Francisco'!K8</f>
        <v>3462625</v>
      </c>
      <c r="L8" s="41">
        <f t="shared" si="3"/>
        <v>-0.57596014584311028</v>
      </c>
      <c r="N8" s="51"/>
      <c r="O8" s="51"/>
    </row>
    <row r="9" spans="1:50" x14ac:dyDescent="0.25">
      <c r="A9" s="58" t="s">
        <v>6</v>
      </c>
      <c r="B9" s="89">
        <f t="shared" si="1"/>
        <v>739133</v>
      </c>
      <c r="C9" s="89">
        <f t="shared" si="2"/>
        <v>19652201</v>
      </c>
      <c r="D9" s="62">
        <f t="shared" si="0"/>
        <v>-0.9623893018395242</v>
      </c>
      <c r="E9" s="42"/>
      <c r="F9" s="90">
        <f>'Los Angeles'!F9+Burbank!F9+'Long Beach'!F9+Ontario!F9+'Orange County'!F9+Oakland!F9+Sacramento!F9+'San Diego'!F9+'San Jose'!F9+'San Francisco'!F9</f>
        <v>654059</v>
      </c>
      <c r="G9" s="90">
        <f>'Los Angeles'!G9+Burbank!G9+'Long Beach'!G9+Ontario!G9+'Orange County'!G9+Oakland!G9+Sacramento!G9+'San Diego'!G9+'San Jose'!G9+'San Francisco'!G9</f>
        <v>16033953</v>
      </c>
      <c r="H9" s="78">
        <f t="shared" ref="H9:H14" si="4">F9/G9-1</f>
        <v>-0.95920787593676993</v>
      </c>
      <c r="I9" s="42"/>
      <c r="J9" s="91">
        <f>'Los Angeles'!J9+Ontario!J9+'Orange County'!J9+Oakland!J9+Sacramento!J9+'San Diego'!J9+'San Jose'!J9+'San Francisco'!J9</f>
        <v>85074</v>
      </c>
      <c r="K9" s="91">
        <f>'Los Angeles'!K9+Ontario!K9+'Orange County'!K9+Oakland!K9+Sacramento!K9+'San Diego'!K9+'San Jose'!K9+'San Francisco'!K9</f>
        <v>3618248</v>
      </c>
      <c r="L9" s="66">
        <f t="shared" si="3"/>
        <v>-0.97648751550474155</v>
      </c>
      <c r="N9" s="5"/>
    </row>
    <row r="10" spans="1:50" x14ac:dyDescent="0.25">
      <c r="A10" s="38" t="s">
        <v>7</v>
      </c>
      <c r="B10" s="88">
        <f t="shared" si="1"/>
        <v>1591004</v>
      </c>
      <c r="C10" s="88">
        <f t="shared" si="2"/>
        <v>20696477</v>
      </c>
      <c r="D10" s="41">
        <f>B10/C10-1</f>
        <v>-0.9231268200863364</v>
      </c>
      <c r="E10" s="42"/>
      <c r="F10" s="88">
        <f>'Los Angeles'!F10+Burbank!F10+'Long Beach'!F10+Ontario!F10+'Orange County'!F10+Oakland!F10+Sacramento!F10+'San Diego'!F10+'San Jose'!F10+'San Francisco'!F10</f>
        <v>1507544</v>
      </c>
      <c r="G10" s="88">
        <f>'Los Angeles'!G10+Burbank!G10+'Long Beach'!G10+Ontario!G10+'Orange County'!G10+Oakland!G10+Sacramento!G10+'San Diego'!G10+'San Jose'!G10+'San Francisco'!G10</f>
        <v>16854310</v>
      </c>
      <c r="H10" s="41">
        <f>F10/G10-1</f>
        <v>-0.91055439231864133</v>
      </c>
      <c r="I10" s="42"/>
      <c r="J10" s="88">
        <f>'Los Angeles'!J10+Ontario!J10+'Orange County'!J10+Oakland!J10+Sacramento!J10+'San Diego'!J10+'San Jose'!J10+'San Francisco'!J10</f>
        <v>83460</v>
      </c>
      <c r="K10" s="88">
        <f>'Los Angeles'!K10+Ontario!K10+'Orange County'!K10+Oakland!K10+Sacramento!K10+'San Diego'!K10+'San Jose'!K10+'San Francisco'!K10</f>
        <v>3842167</v>
      </c>
      <c r="L10" s="41">
        <f t="shared" si="3"/>
        <v>-0.97827788328825893</v>
      </c>
    </row>
    <row r="11" spans="1:50" x14ac:dyDescent="0.25">
      <c r="A11" s="58" t="s">
        <v>8</v>
      </c>
      <c r="B11" s="89">
        <f>SUM(F11,J11)</f>
        <v>3198022</v>
      </c>
      <c r="C11" s="89">
        <f t="shared" si="2"/>
        <v>21814825</v>
      </c>
      <c r="D11" s="62">
        <f t="shared" si="0"/>
        <v>-0.85340143686690129</v>
      </c>
      <c r="E11" s="42"/>
      <c r="F11" s="90">
        <f>'Los Angeles'!F11+Burbank!F11+'Long Beach'!F11+Ontario!F11+'Orange County'!F11+Oakland!F11+Sacramento!F11+'San Diego'!F11+'San Jose'!F11+'San Francisco'!F11</f>
        <v>3011044</v>
      </c>
      <c r="G11" s="90">
        <f>'Los Angeles'!G11+Burbank!G11+'Long Beach'!G11+Ontario!G11+'Orange County'!G11+Oakland!G11+Sacramento!G11+'San Diego'!G11+'San Jose'!G11+'San Francisco'!G11</f>
        <v>17633938</v>
      </c>
      <c r="H11" s="78">
        <f t="shared" si="4"/>
        <v>-0.82924721636199472</v>
      </c>
      <c r="I11" s="42"/>
      <c r="J11" s="91">
        <f>'Los Angeles'!J11+Ontario!J11+'Orange County'!J11+Oakland!J11+Sacramento!J11+'San Diego'!J11+'San Jose'!J11+'San Francisco'!J11</f>
        <v>186978</v>
      </c>
      <c r="K11" s="91">
        <f>'Los Angeles'!K11+Ontario!K11+'Orange County'!K11+Oakland!K11+Sacramento!K11+'San Diego'!K11+'San Jose'!K11+'San Francisco'!K11</f>
        <v>4180887</v>
      </c>
      <c r="L11" s="66">
        <f t="shared" si="3"/>
        <v>-0.95527791112268756</v>
      </c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</row>
    <row r="12" spans="1:50" x14ac:dyDescent="0.25">
      <c r="A12" s="38" t="s">
        <v>9</v>
      </c>
      <c r="B12" s="88">
        <f t="shared" si="1"/>
        <v>4482725</v>
      </c>
      <c r="C12" s="88">
        <f t="shared" si="2"/>
        <v>22755030</v>
      </c>
      <c r="D12" s="41">
        <f>B12/C12-1</f>
        <v>-0.80300069918607009</v>
      </c>
      <c r="E12" s="42"/>
      <c r="F12" s="88">
        <f>'Los Angeles'!F12+Burbank!F12+'Long Beach'!F12+Ontario!F12+'Orange County'!F12+Oakland!F12+Sacramento!F12+'San Diego'!F12+'San Jose'!F12+'San Francisco'!F12</f>
        <v>4172590</v>
      </c>
      <c r="G12" s="88">
        <f>'Los Angeles'!G12+Burbank!G12+'Long Beach'!G12+Ontario!G12+'Orange County'!G12+Oakland!G12+Sacramento!G12+'San Diego'!G12+'San Jose'!G12+'San Francisco'!G12</f>
        <v>18344723</v>
      </c>
      <c r="H12" s="41">
        <f>F12/G12-1</f>
        <v>-0.77254548896704511</v>
      </c>
      <c r="I12" s="42"/>
      <c r="J12" s="88">
        <f>'Los Angeles'!J12+Ontario!J12+'Orange County'!J12+Oakland!J12+Sacramento!J12+'San Diego'!J12+'San Jose'!J12+'San Francisco'!J12</f>
        <v>310135</v>
      </c>
      <c r="K12" s="88">
        <f>'Los Angeles'!K12+Ontario!K12+'Orange County'!K12+Oakland!K12+Sacramento!K12+'San Diego'!K12+'San Jose'!K12+'San Francisco'!K12</f>
        <v>4410307</v>
      </c>
      <c r="L12" s="41">
        <f t="shared" si="3"/>
        <v>-0.92967949850203169</v>
      </c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</row>
    <row r="13" spans="1:50" x14ac:dyDescent="0.25">
      <c r="A13" s="58" t="s">
        <v>10</v>
      </c>
      <c r="B13" s="89">
        <f>SUM(F13,J13)</f>
        <v>4855769</v>
      </c>
      <c r="C13" s="89">
        <f t="shared" si="2"/>
        <v>22378689</v>
      </c>
      <c r="D13" s="62">
        <f t="shared" si="0"/>
        <v>-0.7830181651838497</v>
      </c>
      <c r="E13" s="42"/>
      <c r="F13" s="90">
        <f>'Los Angeles'!F13+Burbank!F13+'Long Beach'!F13+Ontario!F13+'Orange County'!F13+Oakland!F13+Sacramento!F13+'San Diego'!F13+'San Jose'!F13+'San Francisco'!F13</f>
        <v>4476438</v>
      </c>
      <c r="G13" s="90">
        <f>'Los Angeles'!G13+Burbank!G13+'Long Beach'!G13+Ontario!G13+'Orange County'!G13+Oakland!G13+Sacramento!G13+'San Diego'!G13+'San Jose'!G13+'San Francisco'!G13</f>
        <v>18126708</v>
      </c>
      <c r="H13" s="78">
        <f t="shared" si="4"/>
        <v>-0.75304738179706976</v>
      </c>
      <c r="I13" s="42"/>
      <c r="J13" s="91">
        <f>'Los Angeles'!J13+Ontario!J13+'Orange County'!J13+Oakland!J13+Sacramento!J13+'San Diego'!J13+'San Jose'!J13+'San Francisco'!J13</f>
        <v>379331</v>
      </c>
      <c r="K13" s="91">
        <f>'Los Angeles'!K13+Ontario!K13+'Orange County'!K13+Oakland!K13+Sacramento!K13+'San Diego'!K13+'San Jose'!K13+'San Francisco'!K13</f>
        <v>4251981</v>
      </c>
      <c r="L13" s="66">
        <f t="shared" si="3"/>
        <v>-0.91078723070493495</v>
      </c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</row>
    <row r="14" spans="1:50" s="54" customFormat="1" x14ac:dyDescent="0.25">
      <c r="A14" s="46" t="s">
        <v>11</v>
      </c>
      <c r="B14" s="88">
        <f t="shared" si="1"/>
        <v>4929772</v>
      </c>
      <c r="C14" s="88">
        <f t="shared" si="2"/>
        <v>19257968</v>
      </c>
      <c r="D14" s="41">
        <f t="shared" si="0"/>
        <v>-0.74401390634775177</v>
      </c>
      <c r="E14" s="42"/>
      <c r="F14" s="88">
        <f>'Los Angeles'!F14+Burbank!F14+'Long Beach'!F14+Ontario!F14+'Orange County'!F14+Oakland!F14+Sacramento!F14+'San Diego'!F14+'San Jose'!F14+'San Francisco'!F14</f>
        <v>4529101</v>
      </c>
      <c r="G14" s="88">
        <f>'Los Angeles'!G14+Burbank!G14+'Long Beach'!G14+Ontario!G14+'Orange County'!G14+Oakland!G14+Sacramento!G14+'San Diego'!G14+'San Jose'!G14+'San Francisco'!G14</f>
        <v>15609239</v>
      </c>
      <c r="H14" s="41">
        <f t="shared" si="4"/>
        <v>-0.70984485534496589</v>
      </c>
      <c r="I14" s="53"/>
      <c r="J14" s="88">
        <f>'Los Angeles'!J14+Ontario!J14+'Orange County'!J14+Oakland!J14+Sacramento!J14+'San Diego'!J14+'San Jose'!J14+'San Francisco'!J14</f>
        <v>400671</v>
      </c>
      <c r="K14" s="88">
        <f>'Los Angeles'!K14+Ontario!K14+'Orange County'!K14+Oakland!K14+Sacramento!K14+'San Diego'!K14+'San Jose'!K14+'San Francisco'!K14</f>
        <v>3648729</v>
      </c>
      <c r="L14" s="41">
        <f t="shared" si="3"/>
        <v>-0.89018888495144477</v>
      </c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</row>
    <row r="15" spans="1:50" x14ac:dyDescent="0.25">
      <c r="A15" s="58" t="s">
        <v>12</v>
      </c>
      <c r="B15" s="89">
        <f t="shared" si="1"/>
        <v>5708888</v>
      </c>
      <c r="C15" s="89">
        <f t="shared" si="2"/>
        <v>20079531</v>
      </c>
      <c r="D15" s="62">
        <f>B15/C15-1</f>
        <v>-0.71568618808875573</v>
      </c>
      <c r="E15" s="42"/>
      <c r="F15" s="90">
        <f>'Los Angeles'!F15+Burbank!F15+'Long Beach'!F15+Ontario!F15+'Orange County'!F15+Oakland!F15+Sacramento!F15+'San Diego'!F15+'San Jose'!F15+'San Francisco'!F15</f>
        <v>5226134</v>
      </c>
      <c r="G15" s="90">
        <f>'Los Angeles'!G15+Burbank!G15+'Long Beach'!G15+Ontario!G15+'Orange County'!G15+Oakland!G15+Sacramento!G15+'San Diego'!G15+'San Jose'!G15+'San Francisco'!G15</f>
        <v>16475684</v>
      </c>
      <c r="H15" s="78">
        <f>F15/G15-1</f>
        <v>-0.68279714517467083</v>
      </c>
      <c r="I15" s="42"/>
      <c r="J15" s="91">
        <f>'Los Angeles'!J15+Ontario!J15+'Orange County'!J15+Oakland!J15+Sacramento!J15+'San Diego'!J15+'San Jose'!J15+'San Francisco'!J15</f>
        <v>482754</v>
      </c>
      <c r="K15" s="91">
        <f>'Los Angeles'!K15+Ontario!K15+'Orange County'!K15+Oakland!K15+Sacramento!K15+'San Diego'!K15+'San Jose'!K15+'San Francisco'!K15</f>
        <v>3603847</v>
      </c>
      <c r="L15" s="66">
        <f t="shared" si="3"/>
        <v>-0.86604481266824029</v>
      </c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</row>
    <row r="16" spans="1:50" x14ac:dyDescent="0.25">
      <c r="A16" s="43" t="s">
        <v>13</v>
      </c>
      <c r="B16" s="88">
        <f t="shared" si="1"/>
        <v>5555678</v>
      </c>
      <c r="C16" s="88">
        <f t="shared" si="2"/>
        <v>18697443</v>
      </c>
      <c r="D16" s="41">
        <f>B16/C16-1</f>
        <v>-0.70286429005292328</v>
      </c>
      <c r="E16" s="42"/>
      <c r="F16" s="88">
        <f>'Los Angeles'!F16+Burbank!F16+'Long Beach'!F16+Ontario!F16+'Orange County'!F16+Oakland!F16+Sacramento!F16+'San Diego'!F16+'San Jose'!F16+'San Francisco'!F16</f>
        <v>5013762</v>
      </c>
      <c r="G16" s="88">
        <f>'Los Angeles'!G16+Burbank!G16+'Long Beach'!G16+Ontario!G16+'Orange County'!G16+Oakland!G16+Sacramento!G16+'San Diego'!G16+'San Jose'!G16+'San Francisco'!G16</f>
        <v>15425279</v>
      </c>
      <c r="H16" s="41">
        <f>F16/G16-1</f>
        <v>-0.67496458248826485</v>
      </c>
      <c r="I16" s="42"/>
      <c r="J16" s="88">
        <f>'Los Angeles'!J16+Ontario!J16+'Orange County'!J16+Oakland!J16+Sacramento!J16+'San Diego'!J16+'San Jose'!J16+'San Francisco'!J16</f>
        <v>541916</v>
      </c>
      <c r="K16" s="88">
        <f>'Los Angeles'!K16+Ontario!K16+'Orange County'!K16+Oakland!K16+Sacramento!K16+'San Diego'!K16+'San Jose'!K16+'San Francisco'!K16</f>
        <v>3272164</v>
      </c>
      <c r="L16" s="41">
        <f t="shared" si="3"/>
        <v>-0.83438605155487311</v>
      </c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</row>
    <row r="17" spans="1:50" x14ac:dyDescent="0.25">
      <c r="A17" s="58" t="s">
        <v>14</v>
      </c>
      <c r="B17" s="89">
        <f t="shared" si="1"/>
        <v>5058307</v>
      </c>
      <c r="C17" s="89">
        <f>SUM(G17,K17)</f>
        <v>20283913</v>
      </c>
      <c r="D17" s="62">
        <f>B17/C17-1</f>
        <v>-0.7506246945547439</v>
      </c>
      <c r="E17" s="42"/>
      <c r="F17" s="90">
        <f>'Los Angeles'!F17+Burbank!F17+'Long Beach'!F17+Ontario!F17+'Orange County'!F17+Oakland!F17+Sacramento!F17+'San Diego'!F17+'San Jose'!F17+'San Francisco'!F17</f>
        <v>4454177</v>
      </c>
      <c r="G17" s="90">
        <f>'Los Angeles'!G17+Burbank!G17+'Long Beach'!G17+Ontario!G17+'Orange County'!G17+Oakland!G17+Sacramento!G17+'San Diego'!G17+'San Jose'!G17+'San Francisco'!G17</f>
        <v>16590213</v>
      </c>
      <c r="H17" s="78">
        <f>F17/G17-1</f>
        <v>-0.7315177930506378</v>
      </c>
      <c r="I17" s="42"/>
      <c r="J17" s="91">
        <f>'Los Angeles'!J17+Ontario!J17+'Orange County'!J17+Oakland!J17+Sacramento!J17+'San Diego'!J17+'San Jose'!J17+'San Francisco'!J17</f>
        <v>604130</v>
      </c>
      <c r="K17" s="91">
        <f>'Los Angeles'!K17+Ontario!K17+'Orange County'!K17+Oakland!K17+Sacramento!K17+'San Diego'!K17+'San Jose'!K17+'San Francisco'!K17</f>
        <v>3693700</v>
      </c>
      <c r="L17" s="66">
        <f t="shared" si="3"/>
        <v>-0.83644313290196826</v>
      </c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</row>
    <row r="18" spans="1:50" x14ac:dyDescent="0.25">
      <c r="A18" s="38" t="s">
        <v>52</v>
      </c>
      <c r="B18" s="40">
        <f>SUM(B6:B17)</f>
        <v>78717204</v>
      </c>
      <c r="C18" s="40">
        <f>SUM(C6:C17)</f>
        <v>238719721</v>
      </c>
      <c r="D18" s="41">
        <f>B18/C18-1</f>
        <v>-0.67025261394302649</v>
      </c>
      <c r="E18" s="42"/>
      <c r="F18" s="40">
        <f>SUM(F6:F17)</f>
        <v>68015232</v>
      </c>
      <c r="G18" s="40">
        <f>SUM(G6:G17)</f>
        <v>194292081</v>
      </c>
      <c r="H18" s="41">
        <f>F18/G18-1</f>
        <v>-0.64993307164176195</v>
      </c>
      <c r="I18" s="42"/>
      <c r="J18" s="40">
        <f>SUM(J6:J17)</f>
        <v>10701972</v>
      </c>
      <c r="K18" s="40">
        <f>SUM(K6:K17)</f>
        <v>44427640</v>
      </c>
      <c r="L18" s="41">
        <f>J18/K18-1</f>
        <v>-0.75911455121181315</v>
      </c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</row>
    <row r="19" spans="1:50" x14ac:dyDescent="0.25">
      <c r="A19" s="37"/>
      <c r="B19" s="37" t="s">
        <v>49</v>
      </c>
      <c r="E19" s="42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</row>
    <row r="20" spans="1:50" x14ac:dyDescent="0.25">
      <c r="A20" s="33" t="s">
        <v>47</v>
      </c>
      <c r="G20" s="39"/>
      <c r="J20" s="39"/>
      <c r="K20" s="39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</row>
    <row r="21" spans="1:50" x14ac:dyDescent="0.25">
      <c r="A21" s="33" t="s">
        <v>50</v>
      </c>
      <c r="J21" s="39"/>
      <c r="K21" s="57"/>
    </row>
    <row r="23" spans="1:50" x14ac:dyDescent="0.25">
      <c r="B23" s="29"/>
      <c r="C23" s="29"/>
      <c r="D23" s="29"/>
    </row>
    <row r="26" spans="1:50" x14ac:dyDescent="0.25">
      <c r="B26" s="39"/>
    </row>
  </sheetData>
  <mergeCells count="4">
    <mergeCell ref="A1:L1"/>
    <mergeCell ref="B3:D3"/>
    <mergeCell ref="F3:H3"/>
    <mergeCell ref="J3:L3"/>
  </mergeCells>
  <phoneticPr fontId="17" type="noConversion"/>
  <pageMargins left="0.25" right="0.25" top="0.75" bottom="0.75" header="0.3" footer="0.3"/>
  <pageSetup scale="71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39997558519241921"/>
    <pageSetUpPr fitToPage="1"/>
  </sheetPr>
  <dimension ref="A1:L23"/>
  <sheetViews>
    <sheetView zoomScaleNormal="100" zoomScaleSheetLayoutView="93" workbookViewId="0">
      <selection activeCell="C19" sqref="C19"/>
    </sheetView>
  </sheetViews>
  <sheetFormatPr baseColWidth="10" defaultColWidth="9.1640625" defaultRowHeight="19" x14ac:dyDescent="0.25"/>
  <cols>
    <col min="1" max="12" width="13.83203125" style="33" customWidth="1"/>
    <col min="13" max="16384" width="9.1640625" style="33"/>
  </cols>
  <sheetData>
    <row r="1" spans="1:12" ht="30" customHeight="1" x14ac:dyDescent="0.25">
      <c r="A1" s="94" t="s">
        <v>22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x14ac:dyDescent="0.25">
      <c r="A2"/>
      <c r="B2"/>
      <c r="C2"/>
      <c r="D2"/>
      <c r="E2"/>
      <c r="F2"/>
      <c r="G2"/>
      <c r="H2"/>
      <c r="I2"/>
      <c r="J2"/>
      <c r="K2"/>
      <c r="L2"/>
    </row>
    <row r="3" spans="1:12" x14ac:dyDescent="0.25">
      <c r="A3" s="34"/>
      <c r="B3" s="95" t="s">
        <v>48</v>
      </c>
      <c r="C3" s="95"/>
      <c r="D3" s="95"/>
      <c r="E3" s="68"/>
      <c r="F3" s="96" t="s">
        <v>15</v>
      </c>
      <c r="G3" s="96"/>
      <c r="H3" s="96"/>
      <c r="I3" s="67"/>
      <c r="J3" s="97" t="s">
        <v>16</v>
      </c>
      <c r="K3" s="97"/>
      <c r="L3" s="97"/>
    </row>
    <row r="4" spans="1:12" customFormat="1" x14ac:dyDescent="0.25">
      <c r="A4" s="35"/>
      <c r="B4" s="36">
        <v>2020</v>
      </c>
      <c r="C4" s="36">
        <v>2019</v>
      </c>
      <c r="D4" s="36" t="s">
        <v>28</v>
      </c>
      <c r="E4" s="37"/>
      <c r="F4" s="36">
        <v>2020</v>
      </c>
      <c r="G4" s="36">
        <v>2019</v>
      </c>
      <c r="H4" s="36" t="s">
        <v>28</v>
      </c>
      <c r="I4" s="37"/>
      <c r="J4" s="36">
        <v>2020</v>
      </c>
      <c r="K4" s="36">
        <v>2019</v>
      </c>
      <c r="L4" s="36" t="s">
        <v>28</v>
      </c>
    </row>
    <row r="5" spans="1:12" x14ac:dyDescent="0.25">
      <c r="A5" s="58"/>
      <c r="B5" s="59"/>
      <c r="C5" s="60"/>
      <c r="D5" s="59"/>
      <c r="E5" s="37"/>
      <c r="F5" s="75"/>
      <c r="G5" s="76"/>
      <c r="H5" s="75"/>
      <c r="I5" s="37"/>
      <c r="J5" s="63"/>
      <c r="K5" s="64"/>
      <c r="L5" s="63"/>
    </row>
    <row r="6" spans="1:12" x14ac:dyDescent="0.25">
      <c r="A6" s="38" t="s">
        <v>3</v>
      </c>
      <c r="B6" s="40">
        <f t="shared" ref="B6:C17" si="0">SUM(F6,J6)</f>
        <v>1179211</v>
      </c>
      <c r="C6" s="40">
        <f t="shared" si="0"/>
        <v>1083500</v>
      </c>
      <c r="D6" s="41">
        <f>B6/C6-1</f>
        <v>8.8335025380710697E-2</v>
      </c>
      <c r="E6" s="42"/>
      <c r="F6" s="49">
        <f>497019+519233+41542+41542</f>
        <v>1099336</v>
      </c>
      <c r="G6" s="49">
        <f>461226+488201+31731+31731</f>
        <v>1012889</v>
      </c>
      <c r="H6" s="41">
        <f>F6/G6-1</f>
        <v>8.534696299397071E-2</v>
      </c>
      <c r="I6" s="37"/>
      <c r="J6" s="49">
        <f>37096+42779</f>
        <v>79875</v>
      </c>
      <c r="K6" s="49">
        <f>32130+38373+54+54</f>
        <v>70611</v>
      </c>
      <c r="L6" s="41">
        <f>J6/K6-1</f>
        <v>0.13119768874537963</v>
      </c>
    </row>
    <row r="7" spans="1:12" x14ac:dyDescent="0.25">
      <c r="A7" s="58" t="s">
        <v>4</v>
      </c>
      <c r="B7" s="61">
        <f t="shared" si="0"/>
        <v>1084289</v>
      </c>
      <c r="C7" s="61">
        <f t="shared" si="0"/>
        <v>1023762</v>
      </c>
      <c r="D7" s="62">
        <f t="shared" ref="D7:D15" si="1">B7/C7-1</f>
        <v>5.9122139716066835E-2</v>
      </c>
      <c r="E7" s="42"/>
      <c r="F7" s="77">
        <f>474217+470968+41056+41056</f>
        <v>1027297</v>
      </c>
      <c r="G7" s="77">
        <f>451589+451879+31709+31709</f>
        <v>966886</v>
      </c>
      <c r="H7" s="78">
        <f>F7/G7-1</f>
        <v>6.2479961443231202E-2</v>
      </c>
      <c r="I7" s="42"/>
      <c r="J7" s="65">
        <f>26796+30196</f>
        <v>56992</v>
      </c>
      <c r="K7" s="65">
        <f>27736+29102+19+19</f>
        <v>56876</v>
      </c>
      <c r="L7" s="66">
        <f>J7/K7-1</f>
        <v>2.0395245797875106E-3</v>
      </c>
    </row>
    <row r="8" spans="1:12" x14ac:dyDescent="0.25">
      <c r="A8" s="43" t="s">
        <v>5</v>
      </c>
      <c r="B8" s="40">
        <f t="shared" ref="B8:B13" si="2">F8+J8</f>
        <v>508110</v>
      </c>
      <c r="C8" s="40">
        <f t="shared" si="0"/>
        <v>1226670</v>
      </c>
      <c r="D8" s="41">
        <f t="shared" si="1"/>
        <v>-0.58578101689941064</v>
      </c>
      <c r="E8" s="42"/>
      <c r="F8" s="40">
        <f>203405+213071+28205+28205</f>
        <v>472886</v>
      </c>
      <c r="G8" s="40">
        <f>544233+538518+41982+41982</f>
        <v>1166715</v>
      </c>
      <c r="H8" s="41">
        <f>F8/G8-1</f>
        <v>-0.59468593443985895</v>
      </c>
      <c r="I8" s="42"/>
      <c r="J8" s="48">
        <f>15732+19466+13+13</f>
        <v>35224</v>
      </c>
      <c r="K8" s="48">
        <f>29350+30253+176+176</f>
        <v>59955</v>
      </c>
      <c r="L8" s="41">
        <f>J8/K8-1</f>
        <v>-0.41249270286047868</v>
      </c>
    </row>
    <row r="9" spans="1:12" x14ac:dyDescent="0.25">
      <c r="A9" s="58" t="s">
        <v>6</v>
      </c>
      <c r="B9" s="61">
        <f t="shared" si="2"/>
        <v>37556</v>
      </c>
      <c r="C9" s="61">
        <f t="shared" si="0"/>
        <v>1298177</v>
      </c>
      <c r="D9" s="62">
        <f t="shared" si="1"/>
        <v>-0.97107020075074513</v>
      </c>
      <c r="E9" s="42"/>
      <c r="F9" s="77">
        <f>16178+16147+1408+1408</f>
        <v>35141</v>
      </c>
      <c r="G9" s="77">
        <f>566876+577106+40722+40722</f>
        <v>1225426</v>
      </c>
      <c r="H9" s="78">
        <f>F9/G9-1</f>
        <v>-0.97132344180717567</v>
      </c>
      <c r="I9" s="42"/>
      <c r="J9" s="65">
        <f>1046+1369</f>
        <v>2415</v>
      </c>
      <c r="K9" s="65">
        <f>37032+35461+129+129</f>
        <v>72751</v>
      </c>
      <c r="L9" s="66">
        <f>J9/K9-1</f>
        <v>-0.96680458000577307</v>
      </c>
    </row>
    <row r="10" spans="1:12" x14ac:dyDescent="0.25">
      <c r="A10" s="38" t="s">
        <v>7</v>
      </c>
      <c r="B10" s="40">
        <f t="shared" si="2"/>
        <v>79600</v>
      </c>
      <c r="C10" s="40">
        <f>SUM(G10,K10)</f>
        <v>1360317</v>
      </c>
      <c r="D10" s="41">
        <f t="shared" si="1"/>
        <v>-0.94148422757342587</v>
      </c>
      <c r="E10" s="42"/>
      <c r="F10" s="40">
        <f>37490+37688+2211+2211</f>
        <v>79600</v>
      </c>
      <c r="G10" s="40">
        <f>595164+600267+45194+45194</f>
        <v>1285819</v>
      </c>
      <c r="H10" s="41">
        <f>F10/G10-1</f>
        <v>-0.93809393079430303</v>
      </c>
      <c r="I10" s="42"/>
      <c r="J10" s="48">
        <v>0</v>
      </c>
      <c r="K10" s="48">
        <f>37350+36694+227+227</f>
        <v>74498</v>
      </c>
      <c r="L10" s="41">
        <f>J10/K10-1</f>
        <v>-1</v>
      </c>
    </row>
    <row r="11" spans="1:12" x14ac:dyDescent="0.25">
      <c r="A11" s="58" t="s">
        <v>8</v>
      </c>
      <c r="B11" s="61">
        <f t="shared" si="2"/>
        <v>193032</v>
      </c>
      <c r="C11" s="61">
        <f>SUM(G11,K11)</f>
        <v>1411057</v>
      </c>
      <c r="D11" s="62">
        <f t="shared" si="1"/>
        <v>-0.86320042351230319</v>
      </c>
      <c r="E11" s="42"/>
      <c r="F11" s="77">
        <f>86538+83179+10058+10058</f>
        <v>189833</v>
      </c>
      <c r="G11" s="77">
        <f>625967+607876+47056+47056</f>
        <v>1327955</v>
      </c>
      <c r="H11" s="78">
        <f t="shared" ref="H11:H18" si="3">F11/G11-1</f>
        <v>-0.85704861987040226</v>
      </c>
      <c r="I11" s="42"/>
      <c r="J11" s="65">
        <f>1726+1473</f>
        <v>3199</v>
      </c>
      <c r="K11" s="65">
        <f>44404+38560+69+69</f>
        <v>83102</v>
      </c>
      <c r="L11" s="66">
        <f t="shared" ref="L11:L17" si="4">J11/K11-1</f>
        <v>-0.96150513826382034</v>
      </c>
    </row>
    <row r="12" spans="1:12" x14ac:dyDescent="0.25">
      <c r="A12" s="38" t="s">
        <v>9</v>
      </c>
      <c r="B12" s="40">
        <f t="shared" si="2"/>
        <v>268369</v>
      </c>
      <c r="C12" s="40">
        <f>SUM(G12,K12)</f>
        <v>1489363</v>
      </c>
      <c r="D12" s="41">
        <f t="shared" si="1"/>
        <v>-0.81980954273739848</v>
      </c>
      <c r="E12" s="42"/>
      <c r="F12" s="48">
        <f>111353+109231+16537+16537</f>
        <v>253658</v>
      </c>
      <c r="G12" s="48">
        <f>671244+678564+52465+3919</f>
        <v>1406192</v>
      </c>
      <c r="H12" s="41">
        <f t="shared" si="3"/>
        <v>-0.81961353783836066</v>
      </c>
      <c r="I12" s="42"/>
      <c r="J12" s="48">
        <f>7476+7235</f>
        <v>14711</v>
      </c>
      <c r="K12" s="48">
        <f>39700+43471</f>
        <v>83171</v>
      </c>
      <c r="L12" s="41">
        <f t="shared" si="4"/>
        <v>-0.82312344446982721</v>
      </c>
    </row>
    <row r="13" spans="1:12" x14ac:dyDescent="0.25">
      <c r="A13" s="58" t="s">
        <v>10</v>
      </c>
      <c r="B13" s="61">
        <f t="shared" si="2"/>
        <v>264855</v>
      </c>
      <c r="C13" s="61">
        <f t="shared" si="0"/>
        <v>1461045</v>
      </c>
      <c r="D13" s="62">
        <f t="shared" si="1"/>
        <v>-0.81872221594817407</v>
      </c>
      <c r="E13" s="42"/>
      <c r="F13" s="77">
        <f>112191+110278+10295+10295</f>
        <v>243059</v>
      </c>
      <c r="G13" s="77">
        <f>671414+660863+47006+3701</f>
        <v>1382984</v>
      </c>
      <c r="H13" s="78">
        <f t="shared" si="3"/>
        <v>-0.82425031670648397</v>
      </c>
      <c r="I13" s="42"/>
      <c r="J13" s="65">
        <f>9326+12470</f>
        <v>21796</v>
      </c>
      <c r="K13" s="65">
        <f>36642+41419</f>
        <v>78061</v>
      </c>
      <c r="L13" s="66">
        <f t="shared" si="4"/>
        <v>-0.72078246499532417</v>
      </c>
    </row>
    <row r="14" spans="1:12" x14ac:dyDescent="0.25">
      <c r="A14" s="46" t="s">
        <v>11</v>
      </c>
      <c r="B14" s="40">
        <v>262876</v>
      </c>
      <c r="C14" s="40">
        <f>SUM(G14,K14)</f>
        <v>1358465</v>
      </c>
      <c r="D14" s="41">
        <f t="shared" si="1"/>
        <v>-0.80649041381264885</v>
      </c>
      <c r="E14" s="42"/>
      <c r="F14" s="55">
        <f>B14-J14</f>
        <v>244454</v>
      </c>
      <c r="G14" s="55">
        <f>596078+602228+47338+47338</f>
        <v>1292982</v>
      </c>
      <c r="H14" s="41">
        <f t="shared" si="3"/>
        <v>-0.81093781661306963</v>
      </c>
      <c r="I14" s="53"/>
      <c r="J14" s="55">
        <f>9431+8991</f>
        <v>18422</v>
      </c>
      <c r="K14" s="55">
        <f>32149+33334</f>
        <v>65483</v>
      </c>
      <c r="L14" s="41">
        <f t="shared" si="4"/>
        <v>-0.71867507597391689</v>
      </c>
    </row>
    <row r="15" spans="1:12" x14ac:dyDescent="0.25">
      <c r="A15" s="58" t="s">
        <v>12</v>
      </c>
      <c r="B15" s="61">
        <v>287552</v>
      </c>
      <c r="C15" s="61">
        <f t="shared" si="0"/>
        <v>1379881</v>
      </c>
      <c r="D15" s="62">
        <f t="shared" si="1"/>
        <v>-0.79161101573251602</v>
      </c>
      <c r="E15" s="42"/>
      <c r="F15" s="77">
        <f>B15-J15</f>
        <v>268322</v>
      </c>
      <c r="G15" s="77">
        <f>614123+603590+46779+46779</f>
        <v>1311271</v>
      </c>
      <c r="H15" s="78">
        <f t="shared" si="3"/>
        <v>-0.7953725812589465</v>
      </c>
      <c r="I15" s="42"/>
      <c r="J15" s="65">
        <f>9707+9523</f>
        <v>19230</v>
      </c>
      <c r="K15" s="65">
        <f>35245+33093+136+136</f>
        <v>68610</v>
      </c>
      <c r="L15" s="66">
        <f t="shared" si="4"/>
        <v>-0.71972015741145601</v>
      </c>
    </row>
    <row r="16" spans="1:12" x14ac:dyDescent="0.25">
      <c r="A16" s="43" t="s">
        <v>13</v>
      </c>
      <c r="B16" s="44">
        <f>F16+J16</f>
        <v>301980</v>
      </c>
      <c r="C16" s="44">
        <f t="shared" si="0"/>
        <v>1278689</v>
      </c>
      <c r="D16" s="41">
        <f>B16/C16-1</f>
        <v>-0.76383624165062813</v>
      </c>
      <c r="E16" s="42"/>
      <c r="F16" s="48">
        <f>128791+130662+9540+9540</f>
        <v>278533</v>
      </c>
      <c r="G16" s="48">
        <f>572711+567370+37309+37309</f>
        <v>1214699</v>
      </c>
      <c r="H16" s="41">
        <f t="shared" si="3"/>
        <v>-0.77069792598824893</v>
      </c>
      <c r="I16" s="42"/>
      <c r="J16" s="48">
        <f>12482+10965</f>
        <v>23447</v>
      </c>
      <c r="K16" s="48">
        <f>33353+30383+127+127</f>
        <v>63990</v>
      </c>
      <c r="L16" s="41">
        <f t="shared" si="4"/>
        <v>-0.63358337240193774</v>
      </c>
    </row>
    <row r="17" spans="1:12" x14ac:dyDescent="0.25">
      <c r="A17" s="58" t="s">
        <v>14</v>
      </c>
      <c r="B17" s="61">
        <f>F17+J17</f>
        <v>244147</v>
      </c>
      <c r="C17" s="61">
        <f t="shared" si="0"/>
        <v>1368656</v>
      </c>
      <c r="D17" s="62">
        <f>B17/C17-1</f>
        <v>-0.82161551185980986</v>
      </c>
      <c r="E17" s="42"/>
      <c r="F17" s="77">
        <f>99082+92448+10003+10003</f>
        <v>211536</v>
      </c>
      <c r="G17" s="77">
        <f>607531+595736+43887+43887</f>
        <v>1291041</v>
      </c>
      <c r="H17" s="78">
        <f t="shared" si="3"/>
        <v>-0.83615082712322852</v>
      </c>
      <c r="I17" s="42"/>
      <c r="J17" s="65">
        <f>18956+13655</f>
        <v>32611</v>
      </c>
      <c r="K17" s="65">
        <f>42188+35339+88</f>
        <v>77615</v>
      </c>
      <c r="L17" s="66">
        <f t="shared" si="4"/>
        <v>-0.57983637183534109</v>
      </c>
    </row>
    <row r="18" spans="1:12" x14ac:dyDescent="0.25">
      <c r="A18" s="38" t="s">
        <v>36</v>
      </c>
      <c r="B18" s="40">
        <f>SUM(B6:B17)</f>
        <v>4711577</v>
      </c>
      <c r="C18" s="40">
        <f>SUM(C6:C17)</f>
        <v>15739582</v>
      </c>
      <c r="D18" s="41">
        <f>B18/C18-1</f>
        <v>-0.70065424863252401</v>
      </c>
      <c r="E18" s="42"/>
      <c r="F18" s="40">
        <f>SUM(F6:F17)</f>
        <v>4403655</v>
      </c>
      <c r="G18" s="40">
        <f>SUM(G6:G17)</f>
        <v>14884859</v>
      </c>
      <c r="H18" s="41">
        <f t="shared" si="3"/>
        <v>-0.70415205142353043</v>
      </c>
      <c r="I18" s="42"/>
      <c r="J18" s="40">
        <f>SUM(J6:J17)</f>
        <v>307922</v>
      </c>
      <c r="K18" s="40">
        <f>SUM(K6:K17)</f>
        <v>854723</v>
      </c>
      <c r="L18" s="41">
        <f t="shared" ref="L18" si="5">J18/K18-1</f>
        <v>-0.63974059432120112</v>
      </c>
    </row>
    <row r="19" spans="1:12" x14ac:dyDescent="0.25">
      <c r="A19" s="37"/>
      <c r="B19" s="37"/>
      <c r="E19" s="42"/>
    </row>
    <row r="20" spans="1:12" x14ac:dyDescent="0.25">
      <c r="A20" s="45" t="s">
        <v>42</v>
      </c>
      <c r="B20" s="37"/>
      <c r="G20" s="39"/>
      <c r="J20" s="39"/>
      <c r="K20" s="39"/>
    </row>
    <row r="21" spans="1:12" x14ac:dyDescent="0.25">
      <c r="A21" s="2" t="s">
        <v>50</v>
      </c>
      <c r="J21" s="39"/>
      <c r="K21" s="57"/>
    </row>
    <row r="23" spans="1:12" x14ac:dyDescent="0.25">
      <c r="B23" s="29"/>
      <c r="C23" s="29"/>
      <c r="D23" s="29"/>
    </row>
  </sheetData>
  <mergeCells count="4">
    <mergeCell ref="B3:D3"/>
    <mergeCell ref="F3:H3"/>
    <mergeCell ref="J3:L3"/>
    <mergeCell ref="A1:L1"/>
  </mergeCells>
  <phoneticPr fontId="17" type="noConversion"/>
  <pageMargins left="0.7" right="0.7" top="0.75" bottom="0.75" header="0.3" footer="0.3"/>
  <pageSetup scale="5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0.39997558519241921"/>
    <pageSetUpPr fitToPage="1"/>
  </sheetPr>
  <dimension ref="A1:L25"/>
  <sheetViews>
    <sheetView zoomScaleNormal="100" zoomScaleSheetLayoutView="100" workbookViewId="0">
      <selection activeCell="K19" sqref="K19"/>
    </sheetView>
  </sheetViews>
  <sheetFormatPr baseColWidth="10" defaultColWidth="9.1640625" defaultRowHeight="19" x14ac:dyDescent="0.25"/>
  <cols>
    <col min="1" max="12" width="13.83203125" style="33" customWidth="1"/>
    <col min="13" max="16384" width="9.1640625" style="33"/>
  </cols>
  <sheetData>
    <row r="1" spans="1:12" ht="26" customHeight="1" x14ac:dyDescent="0.25">
      <c r="A1" s="98" t="s">
        <v>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x14ac:dyDescent="0.25">
      <c r="A2"/>
      <c r="B2"/>
      <c r="C2"/>
      <c r="D2"/>
      <c r="E2"/>
      <c r="F2"/>
      <c r="G2"/>
      <c r="H2"/>
      <c r="I2"/>
      <c r="J2"/>
      <c r="K2"/>
      <c r="L2"/>
    </row>
    <row r="3" spans="1:12" x14ac:dyDescent="0.25">
      <c r="A3" s="34"/>
      <c r="B3" s="95" t="s">
        <v>48</v>
      </c>
      <c r="C3" s="95"/>
      <c r="D3" s="95"/>
      <c r="E3" s="68"/>
      <c r="F3" s="96" t="s">
        <v>15</v>
      </c>
      <c r="G3" s="96"/>
      <c r="H3" s="96"/>
      <c r="I3" s="67"/>
      <c r="J3" s="97" t="s">
        <v>16</v>
      </c>
      <c r="K3" s="97"/>
      <c r="L3" s="97"/>
    </row>
    <row r="4" spans="1:12" customFormat="1" x14ac:dyDescent="0.25">
      <c r="A4" s="35"/>
      <c r="B4" s="36">
        <v>2020</v>
      </c>
      <c r="C4" s="36">
        <v>2019</v>
      </c>
      <c r="D4" s="36" t="s">
        <v>28</v>
      </c>
      <c r="E4" s="37"/>
      <c r="F4" s="36">
        <v>2020</v>
      </c>
      <c r="G4" s="36">
        <v>2019</v>
      </c>
      <c r="H4" s="36" t="s">
        <v>28</v>
      </c>
      <c r="I4" s="37"/>
      <c r="J4" s="36">
        <v>2020</v>
      </c>
      <c r="K4" s="36">
        <v>2019</v>
      </c>
      <c r="L4" s="36" t="s">
        <v>28</v>
      </c>
    </row>
    <row r="5" spans="1:12" x14ac:dyDescent="0.25">
      <c r="A5" s="58"/>
      <c r="B5" s="59"/>
      <c r="C5" s="60"/>
      <c r="D5" s="59"/>
      <c r="E5" s="37"/>
      <c r="F5" s="75"/>
      <c r="G5" s="76"/>
      <c r="H5" s="75"/>
      <c r="I5" s="37"/>
      <c r="J5" s="63"/>
      <c r="K5" s="64"/>
      <c r="L5" s="63"/>
    </row>
    <row r="6" spans="1:12" x14ac:dyDescent="0.25">
      <c r="A6" s="38" t="s">
        <v>3</v>
      </c>
      <c r="B6" s="40">
        <f t="shared" ref="B6:C8" si="0">SUM(F6,J6)</f>
        <v>4237162</v>
      </c>
      <c r="C6" s="40">
        <f t="shared" si="0"/>
        <v>4151715</v>
      </c>
      <c r="D6" s="41">
        <f t="shared" ref="D6:D12" si="1">B6/C6-1</f>
        <v>2.0581133338873236E-2</v>
      </c>
      <c r="E6" s="42"/>
      <c r="F6" s="49">
        <v>3038185</v>
      </c>
      <c r="G6" s="49">
        <v>3006978</v>
      </c>
      <c r="H6" s="41">
        <f t="shared" ref="H6:H14" si="2">F6/G6-1</f>
        <v>1.0378193654892121E-2</v>
      </c>
      <c r="I6" s="37"/>
      <c r="J6" s="49">
        <v>1198977</v>
      </c>
      <c r="K6" s="49">
        <v>1144737</v>
      </c>
      <c r="L6" s="41">
        <f t="shared" ref="L6:L14" si="3">J6/K6-1</f>
        <v>4.7382062430060268E-2</v>
      </c>
    </row>
    <row r="7" spans="1:12" x14ac:dyDescent="0.25">
      <c r="A7" s="58" t="s">
        <v>4</v>
      </c>
      <c r="B7" s="61">
        <f t="shared" si="0"/>
        <v>3739287</v>
      </c>
      <c r="C7" s="61">
        <f t="shared" si="0"/>
        <v>3749553</v>
      </c>
      <c r="D7" s="62">
        <f t="shared" si="1"/>
        <v>-2.7379263608222626E-3</v>
      </c>
      <c r="E7" s="42"/>
      <c r="F7" s="77">
        <v>2870789</v>
      </c>
      <c r="G7" s="77">
        <v>2762567</v>
      </c>
      <c r="H7" s="78">
        <f t="shared" si="2"/>
        <v>3.9174434502402988E-2</v>
      </c>
      <c r="I7" s="42"/>
      <c r="J7" s="65">
        <v>868498</v>
      </c>
      <c r="K7" s="65">
        <v>986986</v>
      </c>
      <c r="L7" s="66">
        <f>J7/K7-1</f>
        <v>-0.12005033506047702</v>
      </c>
    </row>
    <row r="8" spans="1:12" x14ac:dyDescent="0.25">
      <c r="A8" s="43" t="s">
        <v>5</v>
      </c>
      <c r="B8" s="40">
        <f t="shared" si="0"/>
        <v>1887581</v>
      </c>
      <c r="C8" s="40">
        <f t="shared" si="0"/>
        <v>4595505</v>
      </c>
      <c r="D8" s="41">
        <f t="shared" si="1"/>
        <v>-0.58925493498538239</v>
      </c>
      <c r="E8" s="42"/>
      <c r="F8" s="40">
        <v>1431537</v>
      </c>
      <c r="G8" s="40">
        <v>3449468</v>
      </c>
      <c r="H8" s="41">
        <f t="shared" si="2"/>
        <v>-0.58499774457974385</v>
      </c>
      <c r="I8" s="42"/>
      <c r="J8" s="49">
        <v>456044</v>
      </c>
      <c r="K8" s="48">
        <v>1146037</v>
      </c>
      <c r="L8" s="41">
        <f t="shared" si="3"/>
        <v>-0.60206869411720565</v>
      </c>
    </row>
    <row r="9" spans="1:12" x14ac:dyDescent="0.25">
      <c r="A9" s="58" t="s">
        <v>6</v>
      </c>
      <c r="B9" s="61">
        <f>F9+J9</f>
        <v>137830</v>
      </c>
      <c r="C9" s="61">
        <f t="shared" ref="C9" si="4">SUM(G9,K9)</f>
        <v>4688092</v>
      </c>
      <c r="D9" s="62">
        <f t="shared" si="1"/>
        <v>-0.97059997969323131</v>
      </c>
      <c r="E9" s="42"/>
      <c r="F9" s="77">
        <v>120720</v>
      </c>
      <c r="G9" s="77">
        <v>3488454</v>
      </c>
      <c r="H9" s="78">
        <f t="shared" si="2"/>
        <v>-0.96539441253919356</v>
      </c>
      <c r="I9" s="42"/>
      <c r="J9" s="65">
        <v>17110</v>
      </c>
      <c r="K9" s="65">
        <v>1199638</v>
      </c>
      <c r="L9" s="66">
        <f t="shared" si="3"/>
        <v>-0.98573736410483825</v>
      </c>
    </row>
    <row r="10" spans="1:12" x14ac:dyDescent="0.25">
      <c r="A10" s="38" t="s">
        <v>7</v>
      </c>
      <c r="B10" s="40">
        <v>286570</v>
      </c>
      <c r="C10" s="40">
        <f>SUM(G10,K10)</f>
        <v>5002917</v>
      </c>
      <c r="D10" s="41">
        <f t="shared" si="1"/>
        <v>-0.9427194174918353</v>
      </c>
      <c r="E10" s="42"/>
      <c r="F10" s="40">
        <v>268489</v>
      </c>
      <c r="G10" s="40">
        <v>3665245</v>
      </c>
      <c r="H10" s="41">
        <f t="shared" si="2"/>
        <v>-0.92674732521291214</v>
      </c>
      <c r="I10" s="42"/>
      <c r="J10" s="49">
        <v>18081</v>
      </c>
      <c r="K10" s="48">
        <v>1337672</v>
      </c>
      <c r="L10" s="41">
        <f t="shared" si="3"/>
        <v>-0.98648323355800227</v>
      </c>
    </row>
    <row r="11" spans="1:12" x14ac:dyDescent="0.25">
      <c r="A11" s="58" t="s">
        <v>8</v>
      </c>
      <c r="B11" s="61">
        <v>554760</v>
      </c>
      <c r="C11" s="61">
        <f t="shared" ref="B11:C17" si="5">SUM(G11,K11)</f>
        <v>5457655</v>
      </c>
      <c r="D11" s="62">
        <f t="shared" si="1"/>
        <v>-0.89835194786039063</v>
      </c>
      <c r="E11" s="42"/>
      <c r="F11" s="77">
        <v>510795</v>
      </c>
      <c r="G11" s="77">
        <v>3970724</v>
      </c>
      <c r="H11" s="78">
        <f t="shared" si="2"/>
        <v>-0.87135973187761229</v>
      </c>
      <c r="I11" s="42"/>
      <c r="J11" s="65">
        <v>43965</v>
      </c>
      <c r="K11" s="65">
        <v>1486931</v>
      </c>
      <c r="L11" s="66">
        <f t="shared" si="3"/>
        <v>-0.97043238724594483</v>
      </c>
    </row>
    <row r="12" spans="1:12" x14ac:dyDescent="0.25">
      <c r="A12" s="38" t="s">
        <v>9</v>
      </c>
      <c r="B12" s="40">
        <v>765274</v>
      </c>
      <c r="C12" s="40">
        <f t="shared" si="5"/>
        <v>5604464</v>
      </c>
      <c r="D12" s="41">
        <f t="shared" si="1"/>
        <v>-0.86345277621553107</v>
      </c>
      <c r="E12" s="42"/>
      <c r="F12" s="40">
        <v>694324</v>
      </c>
      <c r="G12" s="48">
        <v>4081450</v>
      </c>
      <c r="H12" s="41">
        <f t="shared" si="2"/>
        <v>-0.82988300726457509</v>
      </c>
      <c r="I12" s="42"/>
      <c r="J12" s="49">
        <v>70950</v>
      </c>
      <c r="K12" s="48">
        <v>1523014</v>
      </c>
      <c r="L12" s="41">
        <f t="shared" si="3"/>
        <v>-0.95341474208378907</v>
      </c>
    </row>
    <row r="13" spans="1:12" x14ac:dyDescent="0.25">
      <c r="A13" s="58" t="s">
        <v>10</v>
      </c>
      <c r="B13" s="61">
        <f>F13+J13</f>
        <v>852398</v>
      </c>
      <c r="C13" s="61">
        <f t="shared" si="5"/>
        <v>5734116</v>
      </c>
      <c r="D13" s="62">
        <f t="shared" ref="D13:D14" si="6">B13/C13-1</f>
        <v>-0.85134622320162334</v>
      </c>
      <c r="E13" s="42"/>
      <c r="F13" s="77">
        <v>750406</v>
      </c>
      <c r="G13" s="77">
        <v>4227342</v>
      </c>
      <c r="H13" s="78">
        <f t="shared" si="2"/>
        <v>-0.82248751106487239</v>
      </c>
      <c r="I13" s="42"/>
      <c r="J13" s="65">
        <v>101992</v>
      </c>
      <c r="K13" s="65">
        <v>1506774</v>
      </c>
      <c r="L13" s="66">
        <f t="shared" si="3"/>
        <v>-0.93231101678154782</v>
      </c>
    </row>
    <row r="14" spans="1:12" x14ac:dyDescent="0.25">
      <c r="A14" s="46" t="s">
        <v>11</v>
      </c>
      <c r="B14" s="40">
        <v>905992</v>
      </c>
      <c r="C14" s="40">
        <f t="shared" si="5"/>
        <v>4464816</v>
      </c>
      <c r="D14" s="41">
        <f t="shared" si="6"/>
        <v>-0.79708189542413388</v>
      </c>
      <c r="E14" s="42"/>
      <c r="F14" s="40">
        <v>803620</v>
      </c>
      <c r="G14" s="55">
        <v>3192029</v>
      </c>
      <c r="H14" s="41">
        <f t="shared" si="2"/>
        <v>-0.74824163564930024</v>
      </c>
      <c r="I14" s="53"/>
      <c r="J14" s="49">
        <v>102372</v>
      </c>
      <c r="K14" s="55">
        <v>1272787</v>
      </c>
      <c r="L14" s="41">
        <f t="shared" si="3"/>
        <v>-0.91956863167207081</v>
      </c>
    </row>
    <row r="15" spans="1:12" x14ac:dyDescent="0.25">
      <c r="A15" s="58" t="s">
        <v>12</v>
      </c>
      <c r="B15" s="61">
        <v>1073882</v>
      </c>
      <c r="C15" s="61">
        <f t="shared" si="5"/>
        <v>4817703</v>
      </c>
      <c r="D15" s="62">
        <f>B15/C15-1</f>
        <v>-0.77709667864540422</v>
      </c>
      <c r="E15" s="42"/>
      <c r="F15" s="77">
        <v>952309</v>
      </c>
      <c r="G15" s="77">
        <v>3578718</v>
      </c>
      <c r="H15" s="78">
        <f>F15/G15-1</f>
        <v>-0.73389660766788556</v>
      </c>
      <c r="I15" s="42"/>
      <c r="J15" s="65">
        <v>121573</v>
      </c>
      <c r="K15" s="65">
        <v>1238985</v>
      </c>
      <c r="L15" s="66">
        <f>J15/K15-1</f>
        <v>-0.90187693959168191</v>
      </c>
    </row>
    <row r="16" spans="1:12" x14ac:dyDescent="0.25">
      <c r="A16" s="43" t="s">
        <v>13</v>
      </c>
      <c r="B16" s="40">
        <v>1073882</v>
      </c>
      <c r="C16" s="44">
        <f t="shared" si="5"/>
        <v>4364780</v>
      </c>
      <c r="D16" s="41">
        <f>B16/C16-1</f>
        <v>-0.75396652294044597</v>
      </c>
      <c r="E16" s="42"/>
      <c r="F16" s="40">
        <v>915452</v>
      </c>
      <c r="G16" s="55">
        <v>3228934</v>
      </c>
      <c r="H16" s="41">
        <f>F16/G16-1</f>
        <v>-0.71648475936640388</v>
      </c>
      <c r="I16" s="42"/>
      <c r="J16" s="49">
        <v>136787</v>
      </c>
      <c r="K16" s="55">
        <v>1135846</v>
      </c>
      <c r="L16" s="41">
        <f>J16/K16-1</f>
        <v>-0.87957258290296392</v>
      </c>
    </row>
    <row r="17" spans="1:12" x14ac:dyDescent="0.25">
      <c r="A17" s="58" t="s">
        <v>14</v>
      </c>
      <c r="B17" s="61">
        <f t="shared" si="5"/>
        <v>918662</v>
      </c>
      <c r="C17" s="61">
        <f t="shared" si="5"/>
        <v>4715471</v>
      </c>
      <c r="D17" s="62">
        <f>B17/C17-1</f>
        <v>-0.80518128517808718</v>
      </c>
      <c r="E17" s="42"/>
      <c r="F17" s="77">
        <v>760119</v>
      </c>
      <c r="G17" s="77">
        <v>3457081</v>
      </c>
      <c r="H17" s="78">
        <f>F17/G17-1</f>
        <v>-0.7801269336761274</v>
      </c>
      <c r="I17" s="42"/>
      <c r="J17" s="65">
        <v>158543</v>
      </c>
      <c r="K17" s="65">
        <v>1258390</v>
      </c>
      <c r="L17" s="66">
        <f>J17/K17-1</f>
        <v>-0.87401123658007451</v>
      </c>
    </row>
    <row r="18" spans="1:12" x14ac:dyDescent="0.25">
      <c r="A18" s="38" t="s">
        <v>29</v>
      </c>
      <c r="B18" s="40">
        <f>SUM(B6:B17)</f>
        <v>16433280</v>
      </c>
      <c r="C18" s="40">
        <f>SUM(C6:C17)</f>
        <v>57346787</v>
      </c>
      <c r="D18" s="41">
        <f>B18/C18-1</f>
        <v>-0.71344026649653447</v>
      </c>
      <c r="E18" s="42"/>
      <c r="F18" s="40">
        <f>SUM(F6:F17)</f>
        <v>13116745</v>
      </c>
      <c r="G18" s="40">
        <f>SUM(G6:G17)</f>
        <v>42108990</v>
      </c>
      <c r="H18" s="41">
        <f>F18/G18-1</f>
        <v>-0.6885048774620337</v>
      </c>
      <c r="I18" s="42"/>
      <c r="J18" s="40">
        <f>SUM(J6:J17)</f>
        <v>3294892</v>
      </c>
      <c r="K18" s="40">
        <f>SUM(K6:K17)</f>
        <v>15237797</v>
      </c>
      <c r="L18" s="41">
        <f>J18/K18-1</f>
        <v>-0.78376848044372815</v>
      </c>
    </row>
    <row r="19" spans="1:12" x14ac:dyDescent="0.25">
      <c r="A19" s="37"/>
      <c r="B19" s="37"/>
      <c r="E19" s="42"/>
    </row>
    <row r="20" spans="1:12" x14ac:dyDescent="0.25">
      <c r="A20" s="45" t="s">
        <v>43</v>
      </c>
      <c r="B20" s="37"/>
      <c r="G20" s="39"/>
      <c r="J20" s="39"/>
      <c r="K20" s="39"/>
    </row>
    <row r="21" spans="1:12" x14ac:dyDescent="0.25">
      <c r="A21" s="2" t="s">
        <v>50</v>
      </c>
      <c r="J21" s="39"/>
      <c r="K21" s="57"/>
    </row>
    <row r="22" spans="1:12" x14ac:dyDescent="0.25">
      <c r="L22" s="33" t="s">
        <v>51</v>
      </c>
    </row>
    <row r="23" spans="1:12" x14ac:dyDescent="0.25">
      <c r="B23" s="29"/>
      <c r="C23" s="29"/>
      <c r="D23" s="29"/>
    </row>
    <row r="25" spans="1:12" x14ac:dyDescent="0.25">
      <c r="B25" s="93"/>
    </row>
  </sheetData>
  <mergeCells count="4">
    <mergeCell ref="B3:D3"/>
    <mergeCell ref="F3:H3"/>
    <mergeCell ref="J3:L3"/>
    <mergeCell ref="A1:L1"/>
  </mergeCells>
  <phoneticPr fontId="17" type="noConversion"/>
  <pageMargins left="0.7" right="0.7" top="0.75" bottom="0.75" header="0.3" footer="0.3"/>
  <pageSetup scale="5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44"/>
  <sheetViews>
    <sheetView workbookViewId="0">
      <selection activeCell="J16" sqref="J16"/>
    </sheetView>
  </sheetViews>
  <sheetFormatPr baseColWidth="10" defaultColWidth="8.83203125" defaultRowHeight="15" x14ac:dyDescent="0.2"/>
  <cols>
    <col min="1" max="1" width="4.6640625" style="28" customWidth="1"/>
    <col min="2" max="2" width="4.6640625" customWidth="1"/>
    <col min="3" max="3" width="11" customWidth="1"/>
    <col min="4" max="4" width="14.33203125" customWidth="1"/>
    <col min="5" max="5" width="14.6640625" customWidth="1"/>
    <col min="6" max="6" width="11.1640625" customWidth="1"/>
    <col min="7" max="7" width="14.6640625" customWidth="1"/>
    <col min="8" max="8" width="17.5" customWidth="1"/>
    <col min="9" max="9" width="17.83203125" customWidth="1"/>
    <col min="10" max="10" width="14.6640625" customWidth="1"/>
    <col min="11" max="11" width="10.33203125" customWidth="1"/>
    <col min="12" max="45" width="9.1640625" customWidth="1"/>
  </cols>
  <sheetData>
    <row r="1" spans="1:9" x14ac:dyDescent="0.2">
      <c r="B1" s="30"/>
      <c r="C1" s="31" t="s">
        <v>37</v>
      </c>
      <c r="D1" s="32"/>
      <c r="E1" s="32"/>
    </row>
    <row r="3" spans="1:9" ht="19" x14ac:dyDescent="0.25">
      <c r="A3" s="99" t="s">
        <v>31</v>
      </c>
      <c r="B3" s="99"/>
      <c r="C3" s="99"/>
      <c r="D3" s="99"/>
      <c r="E3" s="99"/>
      <c r="F3" s="99"/>
      <c r="G3" s="99"/>
      <c r="H3" s="99"/>
      <c r="I3" s="99"/>
    </row>
    <row r="4" spans="1:9" x14ac:dyDescent="0.2">
      <c r="C4" s="1"/>
      <c r="D4" s="1"/>
      <c r="E4" s="1"/>
      <c r="F4" s="1"/>
    </row>
    <row r="5" spans="1:9" ht="16" x14ac:dyDescent="0.2">
      <c r="A5" s="28">
        <v>1</v>
      </c>
      <c r="C5" s="26" t="s">
        <v>27</v>
      </c>
      <c r="D5" s="7"/>
      <c r="E5" s="1"/>
      <c r="F5" s="24" t="s">
        <v>32</v>
      </c>
      <c r="G5" s="20"/>
    </row>
    <row r="6" spans="1:9" x14ac:dyDescent="0.2">
      <c r="C6" s="9"/>
      <c r="D6" s="10"/>
      <c r="E6" s="1"/>
      <c r="F6" s="21"/>
      <c r="G6" s="22"/>
      <c r="H6" t="s">
        <v>34</v>
      </c>
    </row>
    <row r="7" spans="1:9" x14ac:dyDescent="0.2">
      <c r="C7" s="11"/>
      <c r="D7" s="12"/>
      <c r="E7" s="1"/>
      <c r="F7" s="22"/>
      <c r="G7" s="22"/>
    </row>
    <row r="8" spans="1:9" x14ac:dyDescent="0.2">
      <c r="C8" s="1"/>
      <c r="D8" s="1"/>
      <c r="E8" s="1"/>
    </row>
    <row r="9" spans="1:9" ht="16" x14ac:dyDescent="0.2">
      <c r="A9" s="28">
        <v>2</v>
      </c>
      <c r="C9" s="26" t="s">
        <v>26</v>
      </c>
      <c r="D9" s="7"/>
      <c r="E9" s="1"/>
      <c r="F9" s="1"/>
    </row>
    <row r="10" spans="1:9" ht="16" x14ac:dyDescent="0.2">
      <c r="C10" s="9"/>
      <c r="D10" s="13"/>
      <c r="E10" s="1"/>
      <c r="F10" s="24" t="s">
        <v>33</v>
      </c>
      <c r="G10" s="25"/>
    </row>
    <row r="11" spans="1:9" x14ac:dyDescent="0.2">
      <c r="C11" s="11"/>
      <c r="D11" s="14"/>
      <c r="E11" s="1"/>
      <c r="F11" s="23"/>
      <c r="G11" s="23"/>
      <c r="H11" t="s">
        <v>34</v>
      </c>
    </row>
    <row r="12" spans="1:9" x14ac:dyDescent="0.2">
      <c r="C12" s="1"/>
      <c r="D12" s="1"/>
      <c r="E12" s="1"/>
      <c r="F12" s="23"/>
      <c r="G12" s="23"/>
    </row>
    <row r="13" spans="1:9" ht="16" x14ac:dyDescent="0.2">
      <c r="A13" s="28">
        <v>3</v>
      </c>
      <c r="C13" s="26" t="s">
        <v>21</v>
      </c>
      <c r="D13" s="7"/>
      <c r="E13" s="1"/>
    </row>
    <row r="14" spans="1:9" x14ac:dyDescent="0.2">
      <c r="C14" s="9"/>
      <c r="D14" s="10"/>
      <c r="E14" s="1"/>
    </row>
    <row r="15" spans="1:9" x14ac:dyDescent="0.2">
      <c r="C15" s="11"/>
      <c r="D15" s="12"/>
      <c r="E15" s="1"/>
    </row>
    <row r="16" spans="1:9" x14ac:dyDescent="0.2">
      <c r="C16" s="1"/>
      <c r="D16" s="1"/>
      <c r="E16" s="1"/>
    </row>
    <row r="17" spans="1:6" ht="16" x14ac:dyDescent="0.2">
      <c r="A17" s="28">
        <v>4</v>
      </c>
      <c r="C17" s="26" t="s">
        <v>25</v>
      </c>
      <c r="D17" s="7"/>
      <c r="E17" s="1"/>
    </row>
    <row r="18" spans="1:6" x14ac:dyDescent="0.2">
      <c r="C18" s="9"/>
      <c r="D18" s="15"/>
      <c r="E18" s="1"/>
    </row>
    <row r="19" spans="1:6" x14ac:dyDescent="0.2">
      <c r="C19" s="19"/>
      <c r="D19" s="16"/>
      <c r="E19" s="1"/>
    </row>
    <row r="20" spans="1:6" x14ac:dyDescent="0.2">
      <c r="C20" s="1"/>
      <c r="D20" s="1"/>
      <c r="E20" s="1"/>
      <c r="F20" s="1"/>
    </row>
    <row r="21" spans="1:6" ht="16" x14ac:dyDescent="0.2">
      <c r="A21" s="28">
        <v>5</v>
      </c>
      <c r="C21" s="26" t="s">
        <v>20</v>
      </c>
      <c r="D21" s="7"/>
    </row>
    <row r="22" spans="1:6" x14ac:dyDescent="0.2">
      <c r="C22" s="9"/>
      <c r="D22" s="13"/>
    </row>
    <row r="23" spans="1:6" x14ac:dyDescent="0.2">
      <c r="C23" s="19"/>
      <c r="D23" s="14"/>
    </row>
    <row r="24" spans="1:6" x14ac:dyDescent="0.2">
      <c r="C24" s="1"/>
      <c r="D24" s="1"/>
      <c r="E24" s="1"/>
    </row>
    <row r="25" spans="1:6" ht="16" x14ac:dyDescent="0.2">
      <c r="A25" s="28">
        <v>6</v>
      </c>
      <c r="C25" s="26" t="s">
        <v>22</v>
      </c>
      <c r="D25" s="7"/>
      <c r="E25" s="8"/>
    </row>
    <row r="26" spans="1:6" x14ac:dyDescent="0.2">
      <c r="C26" s="9"/>
      <c r="D26" s="10"/>
      <c r="E26" s="1"/>
    </row>
    <row r="27" spans="1:6" x14ac:dyDescent="0.2">
      <c r="C27" s="11"/>
      <c r="D27" s="12"/>
      <c r="E27" s="1"/>
    </row>
    <row r="28" spans="1:6" x14ac:dyDescent="0.2">
      <c r="C28" s="1"/>
      <c r="D28" s="1"/>
      <c r="E28" s="1"/>
    </row>
    <row r="29" spans="1:6" ht="16" x14ac:dyDescent="0.2">
      <c r="A29" s="28">
        <v>7</v>
      </c>
      <c r="C29" s="27" t="s">
        <v>35</v>
      </c>
      <c r="D29" s="8"/>
      <c r="E29" s="1"/>
    </row>
    <row r="30" spans="1:6" x14ac:dyDescent="0.2">
      <c r="C30" s="9"/>
      <c r="D30" s="17"/>
      <c r="E30" s="1"/>
    </row>
    <row r="31" spans="1:6" x14ac:dyDescent="0.2">
      <c r="C31" s="11"/>
      <c r="D31" s="18"/>
      <c r="E31" s="1"/>
    </row>
    <row r="32" spans="1:6" x14ac:dyDescent="0.2">
      <c r="C32" s="1"/>
      <c r="D32" s="1"/>
      <c r="E32" s="1"/>
      <c r="F32" s="1"/>
    </row>
    <row r="33" spans="1:7" ht="16" x14ac:dyDescent="0.2">
      <c r="A33" s="28">
        <v>8</v>
      </c>
      <c r="C33" s="26" t="s">
        <v>19</v>
      </c>
      <c r="D33" s="7"/>
      <c r="E33" s="1"/>
      <c r="F33" s="1"/>
    </row>
    <row r="34" spans="1:7" x14ac:dyDescent="0.2">
      <c r="C34" s="9"/>
      <c r="D34" s="13"/>
      <c r="E34" s="1"/>
      <c r="F34" s="1"/>
    </row>
    <row r="35" spans="1:7" x14ac:dyDescent="0.2">
      <c r="C35" s="11"/>
      <c r="D35" s="14"/>
      <c r="E35" s="1"/>
      <c r="F35" s="1"/>
    </row>
    <row r="36" spans="1:7" x14ac:dyDescent="0.2">
      <c r="C36" s="1"/>
      <c r="D36" s="1"/>
      <c r="E36" s="1"/>
      <c r="F36" s="1"/>
    </row>
    <row r="37" spans="1:7" ht="16" x14ac:dyDescent="0.2">
      <c r="A37" s="28">
        <v>9</v>
      </c>
      <c r="C37" s="26" t="s">
        <v>17</v>
      </c>
      <c r="D37" s="7"/>
      <c r="F37" s="1"/>
    </row>
    <row r="38" spans="1:7" x14ac:dyDescent="0.2">
      <c r="C38" s="9"/>
      <c r="D38" s="13"/>
      <c r="F38" s="1"/>
    </row>
    <row r="39" spans="1:7" x14ac:dyDescent="0.2">
      <c r="C39" s="19"/>
      <c r="D39" s="14"/>
      <c r="F39" s="1"/>
    </row>
    <row r="40" spans="1:7" x14ac:dyDescent="0.2">
      <c r="C40" s="1"/>
      <c r="D40" s="1"/>
      <c r="E40" s="1"/>
      <c r="F40" s="1"/>
    </row>
    <row r="41" spans="1:7" ht="16" x14ac:dyDescent="0.2">
      <c r="A41" s="28">
        <v>10</v>
      </c>
      <c r="C41" s="26" t="s">
        <v>24</v>
      </c>
      <c r="D41" s="7"/>
      <c r="E41" s="1"/>
      <c r="F41" s="1"/>
    </row>
    <row r="42" spans="1:7" x14ac:dyDescent="0.2">
      <c r="C42" s="9"/>
      <c r="D42" s="13"/>
      <c r="E42" s="1"/>
      <c r="F42" s="1"/>
      <c r="G42" t="s">
        <v>30</v>
      </c>
    </row>
    <row r="43" spans="1:7" x14ac:dyDescent="0.2">
      <c r="C43" s="11"/>
      <c r="D43" s="14"/>
      <c r="E43" s="1"/>
      <c r="F43" s="1"/>
    </row>
    <row r="44" spans="1:7" x14ac:dyDescent="0.2">
      <c r="C44" s="1"/>
      <c r="D44" s="1"/>
      <c r="E44" s="1"/>
      <c r="F44" s="1"/>
    </row>
  </sheetData>
  <mergeCells count="1">
    <mergeCell ref="A3:I3"/>
  </mergeCells>
  <pageMargins left="0.7" right="0.7" top="0.75" bottom="0.75" header="0.3" footer="0.3"/>
  <pageSetup scale="80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AJ23"/>
  <sheetViews>
    <sheetView topLeftCell="M1" zoomScaleNormal="100" zoomScaleSheetLayoutView="90" workbookViewId="0">
      <selection activeCell="C17" sqref="B17:C17"/>
    </sheetView>
  </sheetViews>
  <sheetFormatPr baseColWidth="10" defaultColWidth="8.83203125" defaultRowHeight="19" x14ac:dyDescent="0.25"/>
  <cols>
    <col min="1" max="12" width="13.83203125" style="33" customWidth="1"/>
    <col min="13" max="13" width="8.83203125" customWidth="1"/>
  </cols>
  <sheetData>
    <row r="1" spans="1:36" ht="34" customHeight="1" x14ac:dyDescent="0.2">
      <c r="A1" s="94" t="s">
        <v>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54"/>
      <c r="N1" s="54"/>
      <c r="O1" s="54"/>
      <c r="P1" s="54"/>
      <c r="Q1" s="54"/>
      <c r="R1" s="54"/>
    </row>
    <row r="2" spans="1:36" ht="15" x14ac:dyDescent="0.2">
      <c r="A2"/>
      <c r="B2"/>
      <c r="C2"/>
      <c r="D2"/>
      <c r="E2"/>
      <c r="F2"/>
      <c r="G2"/>
      <c r="H2"/>
      <c r="I2"/>
      <c r="J2"/>
      <c r="K2"/>
      <c r="L2"/>
      <c r="M2" s="54"/>
      <c r="N2" s="54"/>
      <c r="O2" s="54"/>
      <c r="P2" s="54"/>
      <c r="Q2" s="54"/>
      <c r="R2" s="54"/>
    </row>
    <row r="3" spans="1:36" x14ac:dyDescent="0.25">
      <c r="A3" s="34"/>
      <c r="B3" s="95" t="s">
        <v>48</v>
      </c>
      <c r="C3" s="95"/>
      <c r="D3" s="95"/>
      <c r="E3" s="68"/>
      <c r="F3" s="96" t="s">
        <v>15</v>
      </c>
      <c r="G3" s="96"/>
      <c r="H3" s="96"/>
      <c r="I3" s="67"/>
      <c r="J3" s="97" t="s">
        <v>16</v>
      </c>
      <c r="K3" s="97"/>
      <c r="L3" s="97"/>
    </row>
    <row r="4" spans="1:36" x14ac:dyDescent="0.25">
      <c r="A4" s="35"/>
      <c r="B4" s="36">
        <v>2020</v>
      </c>
      <c r="C4" s="36">
        <v>2019</v>
      </c>
      <c r="D4" s="36" t="s">
        <v>28</v>
      </c>
      <c r="E4" s="37"/>
      <c r="F4" s="36">
        <v>2020</v>
      </c>
      <c r="G4" s="36">
        <v>2019</v>
      </c>
      <c r="H4" s="36" t="s">
        <v>28</v>
      </c>
      <c r="I4" s="37"/>
      <c r="J4" s="36">
        <v>2020</v>
      </c>
      <c r="K4" s="36">
        <v>2019</v>
      </c>
      <c r="L4" s="36" t="s">
        <v>28</v>
      </c>
    </row>
    <row r="5" spans="1:36" x14ac:dyDescent="0.25">
      <c r="A5" s="58"/>
      <c r="B5" s="59"/>
      <c r="C5" s="60"/>
      <c r="D5" s="59"/>
      <c r="E5" s="37"/>
      <c r="F5" s="75"/>
      <c r="G5" s="76"/>
      <c r="H5" s="75"/>
      <c r="I5" s="37"/>
      <c r="J5" s="63"/>
      <c r="K5" s="64"/>
      <c r="L5" s="63"/>
    </row>
    <row r="6" spans="1:36" x14ac:dyDescent="0.25">
      <c r="A6" s="38" t="s">
        <v>3</v>
      </c>
      <c r="B6" s="40">
        <f>SUM(F6,J6)</f>
        <v>6678451</v>
      </c>
      <c r="C6" s="40">
        <f>SUM(G6,K6)</f>
        <v>6766010</v>
      </c>
      <c r="D6" s="41">
        <f>B6/C6-1</f>
        <v>-1.2941009546246551E-2</v>
      </c>
      <c r="E6" s="42"/>
      <c r="F6" s="49">
        <v>4624732</v>
      </c>
      <c r="G6" s="49">
        <v>4685933</v>
      </c>
      <c r="H6" s="41">
        <f>F6/G6-1</f>
        <v>-1.3060579397955574E-2</v>
      </c>
      <c r="I6" s="37"/>
      <c r="J6" s="49">
        <v>2053719</v>
      </c>
      <c r="K6" s="49">
        <v>2080077</v>
      </c>
      <c r="L6" s="41">
        <f>J6/K6-1</f>
        <v>-1.2671646290017158E-2</v>
      </c>
    </row>
    <row r="7" spans="1:36" x14ac:dyDescent="0.25">
      <c r="A7" s="58" t="s">
        <v>4</v>
      </c>
      <c r="B7" s="61">
        <f>SUM(F7,J7)</f>
        <v>5821460</v>
      </c>
      <c r="C7" s="61">
        <f>SUM(G7,K7)</f>
        <v>6066401</v>
      </c>
      <c r="D7" s="62">
        <f>B7/C7-1</f>
        <v>-4.0376658252561981E-2</v>
      </c>
      <c r="E7" s="42"/>
      <c r="F7" s="77">
        <v>4260519</v>
      </c>
      <c r="G7" s="77">
        <v>4334938</v>
      </c>
      <c r="H7" s="78">
        <f>F7/G7-1</f>
        <v>-1.7167258216841841E-2</v>
      </c>
      <c r="I7" s="42"/>
      <c r="J7" s="65">
        <v>1560941</v>
      </c>
      <c r="K7" s="65">
        <v>1731463</v>
      </c>
      <c r="L7" s="66">
        <f>J7/K7-1</f>
        <v>-9.8484345319536093E-2</v>
      </c>
    </row>
    <row r="8" spans="1:36" x14ac:dyDescent="0.25">
      <c r="A8" s="43" t="s">
        <v>5</v>
      </c>
      <c r="B8" s="40">
        <f t="shared" ref="B8:C9" si="0">SUM(F8,J8)</f>
        <v>3287411</v>
      </c>
      <c r="C8" s="40">
        <f t="shared" si="0"/>
        <v>7368798</v>
      </c>
      <c r="D8" s="41">
        <f>B8/C8-1</f>
        <v>-0.55387418680767198</v>
      </c>
      <c r="E8" s="42"/>
      <c r="F8" s="49">
        <v>2400532</v>
      </c>
      <c r="G8" s="40">
        <v>5322333</v>
      </c>
      <c r="H8" s="41">
        <f>F8/G8-1</f>
        <v>-0.5489699723786543</v>
      </c>
      <c r="I8" s="42"/>
      <c r="J8" s="48">
        <v>886879</v>
      </c>
      <c r="K8" s="48">
        <v>2046465</v>
      </c>
      <c r="L8" s="41">
        <f>J8/K8-1</f>
        <v>-0.56662879648564712</v>
      </c>
    </row>
    <row r="9" spans="1:36" x14ac:dyDescent="0.25">
      <c r="A9" s="58" t="s">
        <v>6</v>
      </c>
      <c r="B9" s="61">
        <f>F9+J9</f>
        <v>299364</v>
      </c>
      <c r="C9" s="61">
        <f t="shared" si="0"/>
        <v>7233370</v>
      </c>
      <c r="D9" s="62">
        <f>B9/C9-1</f>
        <v>-0.9586134816828118</v>
      </c>
      <c r="E9" s="42"/>
      <c r="F9" s="77">
        <v>240197</v>
      </c>
      <c r="G9" s="77">
        <v>5116096</v>
      </c>
      <c r="H9" s="78">
        <f>F9/G9-1</f>
        <v>-0.95305072461501894</v>
      </c>
      <c r="I9" s="42"/>
      <c r="J9" s="65">
        <v>59167</v>
      </c>
      <c r="K9" s="65">
        <v>2117274</v>
      </c>
      <c r="L9" s="66">
        <f>J9/K9-1</f>
        <v>-0.97205510481874335</v>
      </c>
    </row>
    <row r="10" spans="1:36" x14ac:dyDescent="0.25">
      <c r="A10" s="38" t="s">
        <v>7</v>
      </c>
      <c r="B10" s="40">
        <f>SUM(F10,J10)</f>
        <v>575728</v>
      </c>
      <c r="C10" s="40">
        <f>SUM(G10,K10)</f>
        <v>7613449</v>
      </c>
      <c r="D10" s="41">
        <f>B10/C10-1</f>
        <v>-0.9243801331039323</v>
      </c>
      <c r="E10" s="42"/>
      <c r="F10" s="81">
        <v>510349</v>
      </c>
      <c r="G10" s="40">
        <v>5413746</v>
      </c>
      <c r="H10" s="41">
        <f>F10/G10-1</f>
        <v>-0.90573089317452282</v>
      </c>
      <c r="I10" s="42"/>
      <c r="J10" s="48">
        <v>65379</v>
      </c>
      <c r="K10" s="48">
        <v>2199703</v>
      </c>
      <c r="L10" s="41">
        <f>J10/K10-1</f>
        <v>-0.97027826029241215</v>
      </c>
    </row>
    <row r="11" spans="1:36" x14ac:dyDescent="0.25">
      <c r="A11" s="58" t="s">
        <v>8</v>
      </c>
      <c r="B11" s="61">
        <v>1033861</v>
      </c>
      <c r="C11" s="61">
        <f t="shared" ref="C11" si="1">SUM(G11,K11)</f>
        <v>8035567</v>
      </c>
      <c r="D11" s="62">
        <f t="shared" ref="D11:D17" si="2">B11/C11-1</f>
        <v>-0.87133938401608746</v>
      </c>
      <c r="E11" s="42"/>
      <c r="F11" s="77">
        <v>905183</v>
      </c>
      <c r="G11" s="77">
        <v>5672492</v>
      </c>
      <c r="H11" s="78">
        <f t="shared" ref="H11:H17" si="3">F11/G11-1</f>
        <v>-0.84042586573943168</v>
      </c>
      <c r="I11" s="42"/>
      <c r="J11" s="65">
        <v>128678</v>
      </c>
      <c r="K11" s="65">
        <v>2363075</v>
      </c>
      <c r="L11" s="66">
        <f t="shared" ref="L11:L17" si="4">J11/K11-1</f>
        <v>-0.94554637495635985</v>
      </c>
    </row>
    <row r="12" spans="1:36" x14ac:dyDescent="0.25">
      <c r="A12" s="38" t="s">
        <v>9</v>
      </c>
      <c r="B12" s="40">
        <f>SUM(F12,J12)</f>
        <v>1523462</v>
      </c>
      <c r="C12" s="40">
        <f>SUM(G12,K12)</f>
        <v>8469815</v>
      </c>
      <c r="D12" s="41">
        <f>B12/C12-1</f>
        <v>-0.82013042787829482</v>
      </c>
      <c r="E12" s="42"/>
      <c r="F12" s="81">
        <v>1331681</v>
      </c>
      <c r="G12" s="40">
        <v>5933926</v>
      </c>
      <c r="H12" s="41">
        <f t="shared" si="3"/>
        <v>-0.77558179862708099</v>
      </c>
      <c r="I12" s="42"/>
      <c r="J12" s="48">
        <v>191781</v>
      </c>
      <c r="K12" s="48">
        <v>2535889</v>
      </c>
      <c r="L12" s="41">
        <f>J12/K12-1</f>
        <v>-0.92437326712643963</v>
      </c>
    </row>
    <row r="13" spans="1:36" x14ac:dyDescent="0.25">
      <c r="A13" s="58" t="s">
        <v>10</v>
      </c>
      <c r="B13" s="61">
        <f>SUM(F13,J13)</f>
        <v>1707500</v>
      </c>
      <c r="C13" s="61">
        <f t="shared" ref="C13:C15" si="5">SUM(G13,K13)</f>
        <v>8136876</v>
      </c>
      <c r="D13" s="62">
        <f>B13/C13-1</f>
        <v>-0.7901528793114212</v>
      </c>
      <c r="E13" s="42"/>
      <c r="F13" s="77">
        <v>1485013</v>
      </c>
      <c r="G13" s="77">
        <v>5708830</v>
      </c>
      <c r="H13" s="78">
        <f>F13/G13-1</f>
        <v>-0.73987437005480983</v>
      </c>
      <c r="I13" s="42"/>
      <c r="J13" s="65">
        <v>222487</v>
      </c>
      <c r="K13" s="65">
        <v>2428046</v>
      </c>
      <c r="L13" s="66">
        <f>J13/K13-1</f>
        <v>-0.90836788100390187</v>
      </c>
    </row>
    <row r="14" spans="1:36" s="54" customFormat="1" x14ac:dyDescent="0.25">
      <c r="A14" s="46" t="s">
        <v>11</v>
      </c>
      <c r="B14" s="40">
        <f>SUM(F14,J14)</f>
        <v>1749360</v>
      </c>
      <c r="C14" s="40">
        <f t="shared" si="5"/>
        <v>7007176</v>
      </c>
      <c r="D14" s="41">
        <f>B14/C14-1</f>
        <v>-0.75034735819394283</v>
      </c>
      <c r="E14" s="42"/>
      <c r="F14" s="55">
        <v>1500678</v>
      </c>
      <c r="G14" s="55">
        <v>4900354</v>
      </c>
      <c r="H14" s="41">
        <f>F14/G14-1</f>
        <v>-0.69376130785653445</v>
      </c>
      <c r="I14" s="53"/>
      <c r="J14" s="55">
        <v>248682</v>
      </c>
      <c r="K14" s="55">
        <v>2106822</v>
      </c>
      <c r="L14" s="41">
        <f>J14/K14-1</f>
        <v>-0.88196345016332656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s="6" customFormat="1" x14ac:dyDescent="0.25">
      <c r="A15" s="58" t="s">
        <v>12</v>
      </c>
      <c r="B15" s="61">
        <f>SUM(F15,J15)</f>
        <v>2088438</v>
      </c>
      <c r="C15" s="61">
        <f t="shared" si="5"/>
        <v>7194836</v>
      </c>
      <c r="D15" s="62">
        <f>B15/C15-1</f>
        <v>-0.70973097927457973</v>
      </c>
      <c r="E15" s="42"/>
      <c r="F15" s="77">
        <v>1783387</v>
      </c>
      <c r="G15" s="77">
        <v>5111163</v>
      </c>
      <c r="H15" s="78">
        <f>F15/G15-1</f>
        <v>-0.65107999881827294</v>
      </c>
      <c r="I15" s="42"/>
      <c r="J15" s="65">
        <v>305051</v>
      </c>
      <c r="K15" s="65">
        <v>2083673</v>
      </c>
      <c r="L15" s="66">
        <f>J15/K15-1</f>
        <v>-0.85359938915559208</v>
      </c>
    </row>
    <row r="16" spans="1:36" x14ac:dyDescent="0.25">
      <c r="A16" s="43" t="s">
        <v>13</v>
      </c>
      <c r="B16" s="40">
        <f>SUM(F16,J16)</f>
        <v>2038082</v>
      </c>
      <c r="C16" s="44">
        <f t="shared" ref="C16" si="6">SUM(G16,K16)</f>
        <v>6731520</v>
      </c>
      <c r="D16" s="41">
        <f>B16/C16-1</f>
        <v>-0.69723301720859476</v>
      </c>
      <c r="E16" s="42"/>
      <c r="F16" s="55">
        <v>1703020</v>
      </c>
      <c r="G16" s="55">
        <v>4846896</v>
      </c>
      <c r="H16" s="41">
        <f>F16/G16-1</f>
        <v>-0.64863698333944031</v>
      </c>
      <c r="I16" s="42"/>
      <c r="J16" s="55">
        <v>335062</v>
      </c>
      <c r="K16" s="55">
        <v>1884624</v>
      </c>
      <c r="L16" s="41">
        <f>J16/K16-1</f>
        <v>-0.82221281274142743</v>
      </c>
    </row>
    <row r="17" spans="1:12" x14ac:dyDescent="0.25">
      <c r="A17" s="58" t="s">
        <v>14</v>
      </c>
      <c r="B17" s="61">
        <f>SUM(F17,J17)</f>
        <v>1976284</v>
      </c>
      <c r="C17" s="61">
        <f>SUM(G17,K17)</f>
        <v>7478418</v>
      </c>
      <c r="D17" s="62">
        <f t="shared" si="2"/>
        <v>-0.73573501775375494</v>
      </c>
      <c r="E17" s="42"/>
      <c r="F17" s="77">
        <v>1612442</v>
      </c>
      <c r="G17" s="77">
        <v>5358957</v>
      </c>
      <c r="H17" s="78">
        <f t="shared" si="3"/>
        <v>-0.69911271913545869</v>
      </c>
      <c r="I17" s="42"/>
      <c r="J17" s="65">
        <v>363842</v>
      </c>
      <c r="K17" s="65">
        <v>2119461</v>
      </c>
      <c r="L17" s="66">
        <f t="shared" si="4"/>
        <v>-0.82833276951073875</v>
      </c>
    </row>
    <row r="18" spans="1:12" x14ac:dyDescent="0.25">
      <c r="A18" s="38" t="s">
        <v>36</v>
      </c>
      <c r="B18" s="40">
        <f>SUM(B6:B17)</f>
        <v>28779401</v>
      </c>
      <c r="C18" s="40">
        <f>SUM(C6:C16)</f>
        <v>80623818</v>
      </c>
      <c r="D18" s="41">
        <f>B18/C18-1</f>
        <v>-0.64304095596167377</v>
      </c>
      <c r="E18" s="42"/>
      <c r="F18" s="40">
        <f>SUM(F6:F17)</f>
        <v>22357733</v>
      </c>
      <c r="G18" s="40">
        <f>SUM(G6:G16)</f>
        <v>57046707</v>
      </c>
      <c r="H18" s="41">
        <f>F18/G18-1</f>
        <v>-0.60808021749616503</v>
      </c>
      <c r="I18" s="42"/>
      <c r="J18" s="40">
        <f>SUM(J6:J17)</f>
        <v>6421668</v>
      </c>
      <c r="K18" s="40">
        <f>SUM(K6:K16)</f>
        <v>23577111</v>
      </c>
      <c r="L18" s="41">
        <f>J18/K18-1</f>
        <v>-0.72763126067481299</v>
      </c>
    </row>
    <row r="19" spans="1:12" x14ac:dyDescent="0.25">
      <c r="A19" s="37"/>
      <c r="B19" s="37"/>
      <c r="E19" s="42"/>
    </row>
    <row r="20" spans="1:12" x14ac:dyDescent="0.25">
      <c r="A20" s="45" t="s">
        <v>39</v>
      </c>
      <c r="B20" s="79"/>
      <c r="G20" s="39"/>
      <c r="J20" s="39"/>
      <c r="K20" s="39"/>
    </row>
    <row r="21" spans="1:12" x14ac:dyDescent="0.25">
      <c r="A21" s="2" t="s">
        <v>50</v>
      </c>
      <c r="J21" s="39"/>
      <c r="K21" s="57"/>
    </row>
    <row r="23" spans="1:12" x14ac:dyDescent="0.25">
      <c r="B23" s="29"/>
      <c r="C23" s="29"/>
      <c r="D23" s="29"/>
    </row>
  </sheetData>
  <mergeCells count="4">
    <mergeCell ref="B3:D3"/>
    <mergeCell ref="F3:H3"/>
    <mergeCell ref="J3:L3"/>
    <mergeCell ref="A1:L1"/>
  </mergeCells>
  <phoneticPr fontId="17" type="noConversion"/>
  <pageMargins left="0.7" right="0.7" top="0.75" bottom="0.75" header="0.3" footer="0.3"/>
  <pageSetup scale="49" orientation="portrait" r:id="rId1"/>
  <ignoredErrors>
    <ignoredError sqref="B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Q23"/>
  <sheetViews>
    <sheetView zoomScaleNormal="100" zoomScaleSheetLayoutView="90" workbookViewId="0">
      <selection activeCell="B18" sqref="B18"/>
    </sheetView>
  </sheetViews>
  <sheetFormatPr baseColWidth="10" defaultColWidth="9.1640625" defaultRowHeight="19" x14ac:dyDescent="0.25"/>
  <cols>
    <col min="1" max="13" width="13.83203125" style="33" customWidth="1"/>
    <col min="14" max="17" width="9.1640625" style="33" customWidth="1"/>
    <col min="18" max="16384" width="9.1640625" style="33"/>
  </cols>
  <sheetData>
    <row r="1" spans="1:17" s="50" customFormat="1" ht="31" customHeight="1" x14ac:dyDescent="0.25">
      <c r="A1" s="94" t="s">
        <v>17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33"/>
      <c r="N1" s="4"/>
      <c r="O1" s="4"/>
      <c r="P1" s="4"/>
      <c r="Q1" s="4"/>
    </row>
    <row r="2" spans="1:17" s="50" customFormat="1" x14ac:dyDescent="0.25">
      <c r="A2"/>
      <c r="B2"/>
      <c r="C2"/>
      <c r="D2"/>
      <c r="E2"/>
      <c r="F2"/>
      <c r="G2"/>
      <c r="H2"/>
      <c r="I2"/>
      <c r="J2"/>
      <c r="K2"/>
      <c r="L2"/>
      <c r="M2"/>
      <c r="N2" s="3"/>
      <c r="O2" s="3"/>
      <c r="P2" s="3"/>
      <c r="Q2" s="3"/>
    </row>
    <row r="3" spans="1:17" x14ac:dyDescent="0.25">
      <c r="A3" s="34"/>
      <c r="B3" s="95" t="s">
        <v>48</v>
      </c>
      <c r="C3" s="95"/>
      <c r="D3" s="95"/>
      <c r="E3" s="68"/>
      <c r="F3" s="96" t="s">
        <v>15</v>
      </c>
      <c r="G3" s="96"/>
      <c r="H3" s="96"/>
      <c r="I3" s="67"/>
      <c r="J3" s="97" t="s">
        <v>16</v>
      </c>
      <c r="K3" s="97"/>
      <c r="L3" s="97"/>
    </row>
    <row r="4" spans="1:17" customFormat="1" x14ac:dyDescent="0.25">
      <c r="A4" s="35"/>
      <c r="B4" s="36">
        <v>2020</v>
      </c>
      <c r="C4" s="36">
        <v>2019</v>
      </c>
      <c r="D4" s="36" t="s">
        <v>28</v>
      </c>
      <c r="E4" s="37"/>
      <c r="F4" s="36">
        <v>2020</v>
      </c>
      <c r="G4" s="36">
        <v>2019</v>
      </c>
      <c r="H4" s="36" t="s">
        <v>28</v>
      </c>
      <c r="I4" s="37"/>
      <c r="J4" s="36">
        <v>2020</v>
      </c>
      <c r="K4" s="36">
        <v>2019</v>
      </c>
      <c r="L4" s="36" t="s">
        <v>28</v>
      </c>
    </row>
    <row r="5" spans="1:17" x14ac:dyDescent="0.25">
      <c r="A5" s="58"/>
      <c r="B5" s="59"/>
      <c r="C5" s="60"/>
      <c r="D5" s="59"/>
      <c r="E5" s="37"/>
      <c r="F5" s="75"/>
      <c r="G5" s="76"/>
      <c r="H5" s="75"/>
      <c r="I5" s="37"/>
      <c r="J5" s="82"/>
      <c r="K5" s="83"/>
      <c r="L5" s="82"/>
    </row>
    <row r="6" spans="1:17" x14ac:dyDescent="0.25">
      <c r="A6" s="38" t="s">
        <v>3</v>
      </c>
      <c r="B6" s="40">
        <f>SUM(F6,J6)</f>
        <v>480876</v>
      </c>
      <c r="C6" s="40">
        <f>SUM(G6,K6)</f>
        <v>402529</v>
      </c>
      <c r="D6" s="41">
        <f t="shared" ref="D6:D16" si="0">B6/C6-1</f>
        <v>0.19463690814823287</v>
      </c>
      <c r="E6" s="42"/>
      <c r="F6" s="40">
        <v>480876</v>
      </c>
      <c r="G6" s="40">
        <v>402529</v>
      </c>
      <c r="H6" s="41">
        <f t="shared" ref="H6:H18" si="1">F6/G6-1</f>
        <v>0.19463690814823287</v>
      </c>
      <c r="I6" s="37"/>
      <c r="J6" s="84"/>
      <c r="K6" s="84"/>
      <c r="L6" s="85"/>
    </row>
    <row r="7" spans="1:17" x14ac:dyDescent="0.25">
      <c r="A7" s="58" t="s">
        <v>4</v>
      </c>
      <c r="B7" s="61">
        <f t="shared" ref="B7:C17" si="2">SUM(F7,J7)</f>
        <v>456545</v>
      </c>
      <c r="C7" s="61">
        <f t="shared" si="2"/>
        <v>368039</v>
      </c>
      <c r="D7" s="62">
        <f t="shared" si="0"/>
        <v>0.24047994913582538</v>
      </c>
      <c r="E7" s="42"/>
      <c r="F7" s="77">
        <v>456545</v>
      </c>
      <c r="G7" s="77">
        <v>368039</v>
      </c>
      <c r="H7" s="78">
        <f t="shared" si="1"/>
        <v>0.24047994913582538</v>
      </c>
      <c r="I7" s="42"/>
      <c r="J7" s="86"/>
      <c r="K7" s="86"/>
      <c r="L7" s="85"/>
    </row>
    <row r="8" spans="1:17" x14ac:dyDescent="0.25">
      <c r="A8" s="43" t="s">
        <v>5</v>
      </c>
      <c r="B8" s="40">
        <f t="shared" si="2"/>
        <v>206708</v>
      </c>
      <c r="C8" s="40">
        <f t="shared" si="2"/>
        <v>459829</v>
      </c>
      <c r="D8" s="41">
        <f t="shared" si="0"/>
        <v>-0.55046767385267126</v>
      </c>
      <c r="E8" s="42"/>
      <c r="F8" s="40">
        <v>206708</v>
      </c>
      <c r="G8" s="40">
        <v>459829</v>
      </c>
      <c r="H8" s="41">
        <f t="shared" si="1"/>
        <v>-0.55046767385267126</v>
      </c>
      <c r="I8" s="42"/>
      <c r="J8" s="87"/>
      <c r="K8" s="87"/>
      <c r="L8" s="85"/>
    </row>
    <row r="9" spans="1:17" x14ac:dyDescent="0.25">
      <c r="A9" s="58" t="s">
        <v>6</v>
      </c>
      <c r="B9" s="61">
        <f>F9</f>
        <v>14042</v>
      </c>
      <c r="C9" s="61">
        <f t="shared" si="2"/>
        <v>486027</v>
      </c>
      <c r="D9" s="62">
        <f t="shared" si="0"/>
        <v>-0.97110860096249796</v>
      </c>
      <c r="E9" s="42"/>
      <c r="F9" s="77">
        <v>14042</v>
      </c>
      <c r="G9" s="77">
        <v>486027</v>
      </c>
      <c r="H9" s="78">
        <f t="shared" si="1"/>
        <v>-0.97110860096249796</v>
      </c>
      <c r="I9" s="42"/>
      <c r="J9" s="86"/>
      <c r="K9" s="86"/>
      <c r="L9" s="85"/>
    </row>
    <row r="10" spans="1:17" x14ac:dyDescent="0.25">
      <c r="A10" s="38" t="s">
        <v>7</v>
      </c>
      <c r="B10" s="40">
        <f t="shared" si="2"/>
        <v>39330</v>
      </c>
      <c r="C10" s="40">
        <v>499290</v>
      </c>
      <c r="D10" s="41">
        <f t="shared" si="0"/>
        <v>-0.92122814396442954</v>
      </c>
      <c r="E10" s="42"/>
      <c r="F10" s="40">
        <v>39330</v>
      </c>
      <c r="G10" s="40">
        <v>499289</v>
      </c>
      <c r="H10" s="41">
        <f t="shared" si="1"/>
        <v>-0.92122798619637125</v>
      </c>
      <c r="I10" s="42"/>
      <c r="J10" s="87"/>
      <c r="K10" s="87"/>
      <c r="L10" s="85"/>
    </row>
    <row r="11" spans="1:17" x14ac:dyDescent="0.25">
      <c r="A11" s="58" t="s">
        <v>8</v>
      </c>
      <c r="B11" s="61">
        <v>94891</v>
      </c>
      <c r="C11" s="61">
        <f t="shared" si="2"/>
        <v>520215</v>
      </c>
      <c r="D11" s="62">
        <f t="shared" si="0"/>
        <v>-0.81759272608440736</v>
      </c>
      <c r="E11" s="42"/>
      <c r="F11" s="77">
        <v>94891</v>
      </c>
      <c r="G11" s="77">
        <v>520215</v>
      </c>
      <c r="H11" s="78">
        <f t="shared" si="1"/>
        <v>-0.81759272608440736</v>
      </c>
      <c r="I11" s="42"/>
      <c r="J11" s="86"/>
      <c r="K11" s="86"/>
      <c r="L11" s="85"/>
    </row>
    <row r="12" spans="1:17" x14ac:dyDescent="0.25">
      <c r="A12" s="38" t="s">
        <v>9</v>
      </c>
      <c r="B12" s="40">
        <v>110548</v>
      </c>
      <c r="C12" s="40">
        <v>541943</v>
      </c>
      <c r="D12" s="41">
        <f t="shared" si="0"/>
        <v>-0.79601544811908265</v>
      </c>
      <c r="E12" s="42"/>
      <c r="F12" s="40">
        <v>110548</v>
      </c>
      <c r="G12" s="40">
        <v>541942</v>
      </c>
      <c r="H12" s="41">
        <f t="shared" si="1"/>
        <v>-0.79601507172354236</v>
      </c>
      <c r="I12" s="42"/>
      <c r="J12" s="87"/>
      <c r="K12" s="87"/>
      <c r="L12" s="85"/>
    </row>
    <row r="13" spans="1:17" x14ac:dyDescent="0.25">
      <c r="A13" s="58" t="s">
        <v>10</v>
      </c>
      <c r="B13" s="61">
        <v>120577</v>
      </c>
      <c r="C13" s="61">
        <f t="shared" si="2"/>
        <v>556491</v>
      </c>
      <c r="D13" s="62">
        <f t="shared" si="0"/>
        <v>-0.78332623528502709</v>
      </c>
      <c r="E13" s="42"/>
      <c r="F13" s="77">
        <v>120577</v>
      </c>
      <c r="G13" s="77">
        <v>556491</v>
      </c>
      <c r="H13" s="78">
        <f t="shared" si="1"/>
        <v>-0.78332623528502709</v>
      </c>
      <c r="I13" s="42"/>
      <c r="J13" s="86"/>
      <c r="K13" s="86"/>
      <c r="L13" s="85"/>
    </row>
    <row r="14" spans="1:17" x14ac:dyDescent="0.25">
      <c r="A14" s="46" t="s">
        <v>11</v>
      </c>
      <c r="B14" s="40">
        <v>123417</v>
      </c>
      <c r="C14" s="40">
        <f t="shared" si="2"/>
        <v>518033</v>
      </c>
      <c r="D14" s="41">
        <f t="shared" si="0"/>
        <v>-0.76175842079558642</v>
      </c>
      <c r="E14" s="42"/>
      <c r="F14" s="40">
        <v>123417</v>
      </c>
      <c r="G14" s="80">
        <v>518033</v>
      </c>
      <c r="H14" s="41">
        <f t="shared" si="1"/>
        <v>-0.76175842079558642</v>
      </c>
      <c r="I14" s="53"/>
      <c r="J14" s="87"/>
      <c r="K14" s="87"/>
      <c r="L14" s="85"/>
    </row>
    <row r="15" spans="1:17" x14ac:dyDescent="0.25">
      <c r="A15" s="58" t="s">
        <v>12</v>
      </c>
      <c r="B15" s="61">
        <v>134856</v>
      </c>
      <c r="C15" s="61">
        <f t="shared" si="2"/>
        <v>551544</v>
      </c>
      <c r="D15" s="62">
        <f t="shared" si="0"/>
        <v>-0.75549366868282497</v>
      </c>
      <c r="E15" s="42"/>
      <c r="F15" s="77">
        <v>134856</v>
      </c>
      <c r="G15" s="77">
        <v>551544</v>
      </c>
      <c r="H15" s="78">
        <f t="shared" si="1"/>
        <v>-0.75549366868282497</v>
      </c>
      <c r="I15" s="42"/>
      <c r="J15" s="86"/>
      <c r="K15" s="86"/>
      <c r="L15" s="85"/>
    </row>
    <row r="16" spans="1:17" x14ac:dyDescent="0.25">
      <c r="A16" s="43" t="s">
        <v>13</v>
      </c>
      <c r="B16" s="40">
        <v>118111</v>
      </c>
      <c r="C16" s="44">
        <f t="shared" si="2"/>
        <v>525279</v>
      </c>
      <c r="D16" s="41">
        <f t="shared" si="0"/>
        <v>-0.77514616042141415</v>
      </c>
      <c r="E16" s="42"/>
      <c r="F16" s="40">
        <v>118111</v>
      </c>
      <c r="G16" s="40">
        <v>525279</v>
      </c>
      <c r="H16" s="41">
        <f t="shared" si="1"/>
        <v>-0.77514616042141415</v>
      </c>
      <c r="I16" s="42"/>
      <c r="J16" s="87"/>
      <c r="K16" s="87"/>
      <c r="L16" s="85"/>
    </row>
    <row r="17" spans="1:13" x14ac:dyDescent="0.25">
      <c r="A17" s="58" t="s">
        <v>14</v>
      </c>
      <c r="B17" s="61">
        <v>95447</v>
      </c>
      <c r="C17" s="61">
        <f t="shared" si="2"/>
        <v>554520</v>
      </c>
      <c r="D17" s="62">
        <f t="shared" ref="D17" si="3">B17/C17-1</f>
        <v>-0.82787455817644084</v>
      </c>
      <c r="E17" s="42"/>
      <c r="F17" s="77">
        <v>95447</v>
      </c>
      <c r="G17" s="77">
        <v>554520</v>
      </c>
      <c r="H17" s="78">
        <f t="shared" si="1"/>
        <v>-0.82787455817644084</v>
      </c>
      <c r="I17" s="42"/>
      <c r="J17" s="86"/>
      <c r="K17" s="86"/>
      <c r="L17" s="85"/>
    </row>
    <row r="18" spans="1:13" x14ac:dyDescent="0.25">
      <c r="A18" s="38" t="s">
        <v>36</v>
      </c>
      <c r="B18" s="40">
        <f>SUM(B6:B17)</f>
        <v>1995348</v>
      </c>
      <c r="C18" s="40">
        <f>SUM(C6:C16)</f>
        <v>5429219</v>
      </c>
      <c r="D18" s="41">
        <f>B18/C18-1</f>
        <v>-0.63247973603569863</v>
      </c>
      <c r="E18" s="42"/>
      <c r="F18" s="40">
        <f>SUM(F6:F17)</f>
        <v>1995348</v>
      </c>
      <c r="G18" s="40">
        <f>SUM(G6:G16)</f>
        <v>5429217</v>
      </c>
      <c r="H18" s="41">
        <f t="shared" si="1"/>
        <v>-0.63247960064959641</v>
      </c>
      <c r="I18" s="42"/>
      <c r="J18" s="86"/>
      <c r="K18" s="86"/>
      <c r="L18" s="85"/>
    </row>
    <row r="19" spans="1:13" x14ac:dyDescent="0.25">
      <c r="A19" s="37"/>
      <c r="B19" s="37"/>
      <c r="E19" s="42"/>
    </row>
    <row r="20" spans="1:13" x14ac:dyDescent="0.25">
      <c r="A20" s="45" t="s">
        <v>46</v>
      </c>
      <c r="B20" s="37"/>
      <c r="G20" s="39"/>
      <c r="J20" s="39"/>
      <c r="K20" s="39"/>
    </row>
    <row r="21" spans="1:13" x14ac:dyDescent="0.25">
      <c r="A21" s="2" t="s">
        <v>50</v>
      </c>
      <c r="J21" s="39"/>
      <c r="K21" s="57"/>
      <c r="M21" s="2"/>
    </row>
    <row r="23" spans="1:13" x14ac:dyDescent="0.25">
      <c r="B23" s="29"/>
      <c r="C23" s="29"/>
      <c r="D23" s="29"/>
    </row>
  </sheetData>
  <mergeCells count="4">
    <mergeCell ref="A1:L1"/>
    <mergeCell ref="F3:H3"/>
    <mergeCell ref="B3:D3"/>
    <mergeCell ref="J3:L3"/>
  </mergeCells>
  <phoneticPr fontId="17" type="noConversion"/>
  <pageMargins left="0.7" right="0.7" top="0.75" bottom="0.75" header="0.3" footer="0.3"/>
  <pageSetup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X23"/>
  <sheetViews>
    <sheetView zoomScaleNormal="100" zoomScaleSheetLayoutView="90" workbookViewId="0">
      <selection activeCell="E23" sqref="E23"/>
    </sheetView>
  </sheetViews>
  <sheetFormatPr baseColWidth="10" defaultColWidth="9.1640625" defaultRowHeight="19" x14ac:dyDescent="0.25"/>
  <cols>
    <col min="1" max="12" width="13.83203125" style="33" customWidth="1"/>
    <col min="13" max="16384" width="9.1640625" style="69"/>
  </cols>
  <sheetData>
    <row r="1" spans="1:24" ht="33" customHeight="1" x14ac:dyDescent="0.2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24" x14ac:dyDescent="0.25">
      <c r="A2"/>
      <c r="B2"/>
      <c r="C2"/>
      <c r="D2"/>
      <c r="E2"/>
      <c r="F2"/>
      <c r="G2"/>
      <c r="H2"/>
      <c r="I2"/>
      <c r="J2"/>
      <c r="K2"/>
      <c r="L2"/>
    </row>
    <row r="3" spans="1:24" x14ac:dyDescent="0.25">
      <c r="A3" s="34"/>
      <c r="B3" s="95" t="s">
        <v>48</v>
      </c>
      <c r="C3" s="95"/>
      <c r="D3" s="95"/>
      <c r="E3" s="68"/>
      <c r="F3" s="96" t="s">
        <v>15</v>
      </c>
      <c r="G3" s="96"/>
      <c r="H3" s="96"/>
      <c r="I3" s="67"/>
      <c r="J3" s="97" t="s">
        <v>16</v>
      </c>
      <c r="K3" s="97"/>
      <c r="L3" s="97"/>
    </row>
    <row r="4" spans="1:24" customFormat="1" x14ac:dyDescent="0.25">
      <c r="A4" s="35"/>
      <c r="B4" s="36">
        <v>2020</v>
      </c>
      <c r="C4" s="36">
        <v>2019</v>
      </c>
      <c r="D4" s="36" t="s">
        <v>28</v>
      </c>
      <c r="E4" s="37"/>
      <c r="F4" s="36">
        <v>2020</v>
      </c>
      <c r="G4" s="36">
        <v>2019</v>
      </c>
      <c r="H4" s="36" t="s">
        <v>28</v>
      </c>
      <c r="I4" s="37"/>
      <c r="J4" s="36">
        <v>2020</v>
      </c>
      <c r="K4" s="36">
        <v>2019</v>
      </c>
      <c r="L4" s="36" t="s">
        <v>28</v>
      </c>
    </row>
    <row r="5" spans="1:24" x14ac:dyDescent="0.25">
      <c r="A5" s="58"/>
      <c r="B5" s="59"/>
      <c r="C5" s="60"/>
      <c r="D5" s="59"/>
      <c r="E5" s="37"/>
      <c r="F5" s="75"/>
      <c r="G5" s="76"/>
      <c r="H5" s="75"/>
      <c r="I5" s="37"/>
      <c r="J5" s="82"/>
      <c r="K5" s="83"/>
      <c r="L5" s="82"/>
    </row>
    <row r="6" spans="1:24" x14ac:dyDescent="0.25">
      <c r="A6" s="38" t="s">
        <v>3</v>
      </c>
      <c r="B6" s="40">
        <f t="shared" ref="B6:C8" si="0">F6</f>
        <v>288070</v>
      </c>
      <c r="C6" s="40">
        <f t="shared" si="0"/>
        <v>264662</v>
      </c>
      <c r="D6" s="41">
        <f t="shared" ref="D6:D11" si="1">B6/C6-1</f>
        <v>8.8444884418616976E-2</v>
      </c>
      <c r="E6" s="42"/>
      <c r="F6" s="49">
        <v>288070</v>
      </c>
      <c r="G6" s="49">
        <v>264662</v>
      </c>
      <c r="H6" s="41">
        <f>F6/G6-1</f>
        <v>8.8444884418616976E-2</v>
      </c>
      <c r="I6" s="37"/>
      <c r="J6" s="84"/>
      <c r="K6" s="84"/>
      <c r="L6" s="85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</row>
    <row r="7" spans="1:24" x14ac:dyDescent="0.25">
      <c r="A7" s="58" t="s">
        <v>4</v>
      </c>
      <c r="B7" s="61">
        <f t="shared" si="0"/>
        <v>278099</v>
      </c>
      <c r="C7" s="61">
        <f t="shared" si="0"/>
        <v>250698</v>
      </c>
      <c r="D7" s="62">
        <f>B7/C7-1</f>
        <v>0.10929883764529436</v>
      </c>
      <c r="E7" s="42"/>
      <c r="F7" s="77">
        <v>278099</v>
      </c>
      <c r="G7" s="77">
        <v>250698</v>
      </c>
      <c r="H7" s="78">
        <f>F7/G7-1</f>
        <v>0.10929883764529436</v>
      </c>
      <c r="I7" s="42"/>
      <c r="J7" s="86"/>
      <c r="K7" s="86"/>
      <c r="L7" s="85"/>
      <c r="M7" s="71"/>
      <c r="N7" s="71"/>
      <c r="O7" s="71"/>
      <c r="P7" s="71"/>
      <c r="Q7" s="71"/>
      <c r="R7" s="70"/>
      <c r="S7" s="70"/>
      <c r="T7" s="70"/>
      <c r="U7" s="70"/>
      <c r="V7" s="70"/>
      <c r="W7" s="70"/>
      <c r="X7" s="70"/>
    </row>
    <row r="8" spans="1:24" x14ac:dyDescent="0.25">
      <c r="A8" s="43" t="s">
        <v>5</v>
      </c>
      <c r="B8" s="40">
        <f t="shared" si="0"/>
        <v>134452</v>
      </c>
      <c r="C8" s="40">
        <f t="shared" si="0"/>
        <v>289791</v>
      </c>
      <c r="D8" s="41">
        <f t="shared" si="1"/>
        <v>-0.53603804120900933</v>
      </c>
      <c r="E8" s="42"/>
      <c r="F8" s="40">
        <v>134452</v>
      </c>
      <c r="G8" s="40">
        <v>289791</v>
      </c>
      <c r="H8" s="41">
        <f>F8/G8-1</f>
        <v>-0.53603804120900933</v>
      </c>
      <c r="I8" s="42"/>
      <c r="J8" s="87"/>
      <c r="K8" s="87"/>
      <c r="L8" s="85"/>
      <c r="M8" s="71"/>
      <c r="N8" s="71"/>
      <c r="O8" s="71"/>
      <c r="P8" s="71"/>
      <c r="Q8" s="71"/>
      <c r="R8" s="70"/>
      <c r="S8" s="70"/>
      <c r="T8" s="70"/>
      <c r="U8" s="70"/>
      <c r="V8" s="70"/>
      <c r="W8" s="70"/>
      <c r="X8" s="70"/>
    </row>
    <row r="9" spans="1:24" x14ac:dyDescent="0.25">
      <c r="A9" s="58" t="s">
        <v>6</v>
      </c>
      <c r="B9" s="61">
        <f>F9</f>
        <v>6299</v>
      </c>
      <c r="C9" s="61">
        <f t="shared" ref="C9:C17" si="2">G9</f>
        <v>296941</v>
      </c>
      <c r="D9" s="62">
        <f>B9/C9-1</f>
        <v>-0.97878703176725346</v>
      </c>
      <c r="E9" s="42"/>
      <c r="F9" s="77">
        <v>6299</v>
      </c>
      <c r="G9" s="77">
        <v>296941</v>
      </c>
      <c r="H9" s="78">
        <f>F9/G9-1</f>
        <v>-0.97878703176725346</v>
      </c>
      <c r="I9" s="42"/>
      <c r="J9" s="86"/>
      <c r="K9" s="86"/>
      <c r="L9" s="85"/>
      <c r="M9" s="71"/>
      <c r="N9" s="71"/>
      <c r="O9" s="71"/>
      <c r="P9" s="71"/>
      <c r="Q9" s="71"/>
      <c r="R9" s="70"/>
      <c r="S9" s="70"/>
      <c r="T9" s="70"/>
      <c r="U9" s="70"/>
      <c r="V9" s="70"/>
      <c r="W9" s="70"/>
      <c r="X9" s="70"/>
    </row>
    <row r="10" spans="1:24" x14ac:dyDescent="0.25">
      <c r="A10" s="38" t="s">
        <v>7</v>
      </c>
      <c r="B10" s="40">
        <v>11566</v>
      </c>
      <c r="C10" s="40">
        <f t="shared" si="2"/>
        <v>305277</v>
      </c>
      <c r="D10" s="41">
        <f t="shared" si="1"/>
        <v>-0.96211309728541616</v>
      </c>
      <c r="E10" s="42"/>
      <c r="F10" s="40">
        <v>11566</v>
      </c>
      <c r="G10" s="40">
        <v>305277</v>
      </c>
      <c r="H10" s="41">
        <f>F10/G10-1</f>
        <v>-0.96211309728541616</v>
      </c>
      <c r="I10" s="42"/>
      <c r="J10" s="87"/>
      <c r="K10" s="87"/>
      <c r="L10" s="85"/>
      <c r="M10" s="71"/>
      <c r="N10" s="71"/>
      <c r="O10" s="71"/>
      <c r="P10" s="71"/>
      <c r="Q10" s="71"/>
      <c r="R10" s="70"/>
      <c r="S10" s="70"/>
      <c r="T10" s="70"/>
      <c r="U10" s="70"/>
      <c r="V10" s="70"/>
      <c r="W10" s="70"/>
      <c r="X10" s="70"/>
    </row>
    <row r="11" spans="1:24" s="72" customFormat="1" x14ac:dyDescent="0.25">
      <c r="A11" s="58" t="s">
        <v>8</v>
      </c>
      <c r="B11" s="61">
        <v>24190</v>
      </c>
      <c r="C11" s="61">
        <f t="shared" si="2"/>
        <v>306937</v>
      </c>
      <c r="D11" s="62">
        <f t="shared" si="1"/>
        <v>-0.92118903879297709</v>
      </c>
      <c r="E11" s="42"/>
      <c r="F11" s="77">
        <v>24190</v>
      </c>
      <c r="G11" s="77">
        <v>306937</v>
      </c>
      <c r="H11" s="78">
        <f t="shared" ref="H11:H17" si="3">F11/G11-1</f>
        <v>-0.92118903879297709</v>
      </c>
      <c r="I11" s="42"/>
      <c r="J11" s="86"/>
      <c r="K11" s="86"/>
      <c r="L11" s="85"/>
      <c r="M11" s="71"/>
      <c r="N11" s="71"/>
      <c r="O11" s="71"/>
      <c r="P11" s="71"/>
      <c r="Q11" s="71"/>
      <c r="R11" s="70"/>
      <c r="S11" s="70"/>
      <c r="T11" s="70"/>
      <c r="U11" s="70"/>
      <c r="V11" s="70"/>
      <c r="W11" s="70"/>
      <c r="X11" s="70"/>
    </row>
    <row r="12" spans="1:24" s="73" customFormat="1" x14ac:dyDescent="0.25">
      <c r="A12" s="38" t="s">
        <v>9</v>
      </c>
      <c r="B12" s="40">
        <v>40406</v>
      </c>
      <c r="C12" s="40">
        <f t="shared" si="2"/>
        <v>319296</v>
      </c>
      <c r="D12" s="41">
        <f t="shared" ref="D12:D17" si="4">B12/C12-1</f>
        <v>-0.87345284626177588</v>
      </c>
      <c r="E12" s="42"/>
      <c r="F12" s="40">
        <v>40406</v>
      </c>
      <c r="G12" s="48">
        <v>319296</v>
      </c>
      <c r="H12" s="41">
        <f t="shared" si="3"/>
        <v>-0.87345284626177588</v>
      </c>
      <c r="I12" s="42"/>
      <c r="J12" s="87"/>
      <c r="K12" s="87"/>
      <c r="L12" s="85"/>
      <c r="M12" s="71"/>
      <c r="N12" s="71"/>
      <c r="O12" s="71"/>
      <c r="P12" s="71"/>
      <c r="Q12" s="71"/>
      <c r="R12" s="70"/>
      <c r="S12" s="70"/>
      <c r="T12" s="70"/>
      <c r="U12" s="70"/>
      <c r="V12" s="70"/>
      <c r="W12" s="70"/>
      <c r="X12" s="70"/>
    </row>
    <row r="13" spans="1:24" s="72" customFormat="1" x14ac:dyDescent="0.25">
      <c r="A13" s="58" t="s">
        <v>10</v>
      </c>
      <c r="B13" s="61">
        <v>43685</v>
      </c>
      <c r="C13" s="61">
        <f t="shared" si="2"/>
        <v>325104</v>
      </c>
      <c r="D13" s="62">
        <f t="shared" si="4"/>
        <v>-0.86562761454796</v>
      </c>
      <c r="E13" s="42"/>
      <c r="F13" s="77">
        <v>43685</v>
      </c>
      <c r="G13" s="77">
        <v>325104</v>
      </c>
      <c r="H13" s="78">
        <f>F13/G13-1</f>
        <v>-0.86562761454796</v>
      </c>
      <c r="I13" s="42"/>
      <c r="J13" s="86"/>
      <c r="K13" s="86"/>
      <c r="L13" s="85"/>
      <c r="M13" s="71"/>
      <c r="N13" s="71"/>
      <c r="O13" s="71"/>
      <c r="P13" s="71"/>
      <c r="Q13" s="71"/>
      <c r="R13" s="70"/>
      <c r="S13" s="70"/>
      <c r="T13" s="70"/>
      <c r="U13" s="70"/>
      <c r="V13" s="70"/>
      <c r="W13" s="70"/>
      <c r="X13" s="70"/>
    </row>
    <row r="14" spans="1:24" x14ac:dyDescent="0.25">
      <c r="A14" s="46" t="s">
        <v>11</v>
      </c>
      <c r="B14" s="40">
        <v>55007</v>
      </c>
      <c r="C14" s="40">
        <f t="shared" si="2"/>
        <v>289502</v>
      </c>
      <c r="D14" s="41">
        <f>B14/C14-1</f>
        <v>-0.80999440418373625</v>
      </c>
      <c r="E14" s="42"/>
      <c r="F14" s="40">
        <v>55007</v>
      </c>
      <c r="G14" s="55">
        <v>289502</v>
      </c>
      <c r="H14" s="41">
        <f>F14/G14-1</f>
        <v>-0.80999440418373625</v>
      </c>
      <c r="I14" s="53"/>
      <c r="J14" s="87"/>
      <c r="K14" s="87"/>
      <c r="L14" s="85"/>
      <c r="M14" s="71"/>
      <c r="N14" s="71"/>
      <c r="O14" s="71"/>
      <c r="P14" s="71"/>
      <c r="Q14" s="71"/>
      <c r="R14" s="70"/>
      <c r="S14" s="70"/>
      <c r="T14" s="70"/>
      <c r="U14" s="70"/>
      <c r="V14" s="70"/>
      <c r="W14" s="70"/>
      <c r="X14" s="70"/>
    </row>
    <row r="15" spans="1:24" s="72" customFormat="1" x14ac:dyDescent="0.25">
      <c r="A15" s="58" t="s">
        <v>12</v>
      </c>
      <c r="B15" s="61">
        <v>57904</v>
      </c>
      <c r="C15" s="61">
        <f t="shared" si="2"/>
        <v>305102</v>
      </c>
      <c r="D15" s="62">
        <f>B15/C15-1</f>
        <v>-0.8102142889918782</v>
      </c>
      <c r="E15" s="42"/>
      <c r="F15" s="77">
        <v>57904</v>
      </c>
      <c r="G15" s="77">
        <v>305102</v>
      </c>
      <c r="H15" s="78">
        <f>F15/G15-1</f>
        <v>-0.8102142889918782</v>
      </c>
      <c r="I15" s="42"/>
      <c r="J15" s="86"/>
      <c r="K15" s="86"/>
      <c r="L15" s="85"/>
      <c r="M15" s="71"/>
      <c r="N15" s="71"/>
      <c r="O15" s="71"/>
      <c r="P15" s="71"/>
      <c r="Q15" s="71"/>
      <c r="R15" s="70"/>
      <c r="S15" s="70"/>
      <c r="T15" s="70"/>
      <c r="U15" s="70"/>
      <c r="V15" s="70"/>
      <c r="W15" s="70"/>
      <c r="X15" s="70"/>
    </row>
    <row r="16" spans="1:24" x14ac:dyDescent="0.25">
      <c r="A16" s="43" t="s">
        <v>13</v>
      </c>
      <c r="B16" s="40">
        <v>56143</v>
      </c>
      <c r="C16" s="44">
        <f t="shared" si="2"/>
        <v>308559</v>
      </c>
      <c r="D16" s="62">
        <f>B16/C16-1</f>
        <v>-0.81804776396086321</v>
      </c>
      <c r="E16" s="42"/>
      <c r="F16" s="40">
        <v>56143</v>
      </c>
      <c r="G16" s="44">
        <v>308559</v>
      </c>
      <c r="H16" s="41">
        <f>F16/G16-1</f>
        <v>-0.81804776396086321</v>
      </c>
      <c r="I16" s="42"/>
      <c r="J16" s="87"/>
      <c r="K16" s="87"/>
      <c r="L16" s="85"/>
      <c r="M16" s="71"/>
      <c r="N16" s="71"/>
      <c r="O16" s="71"/>
      <c r="P16" s="71"/>
      <c r="Q16" s="71"/>
      <c r="R16" s="70"/>
      <c r="S16" s="70"/>
      <c r="T16" s="70"/>
      <c r="U16" s="70"/>
      <c r="V16" s="70"/>
      <c r="W16" s="70"/>
      <c r="X16" s="70"/>
    </row>
    <row r="17" spans="1:24" x14ac:dyDescent="0.25">
      <c r="A17" s="58" t="s">
        <v>14</v>
      </c>
      <c r="B17" s="61">
        <v>46816</v>
      </c>
      <c r="C17" s="61">
        <f t="shared" si="2"/>
        <v>321686</v>
      </c>
      <c r="D17" s="62">
        <f t="shared" si="4"/>
        <v>-0.85446677816255601</v>
      </c>
      <c r="E17" s="42"/>
      <c r="F17" s="77">
        <v>46816</v>
      </c>
      <c r="G17" s="77">
        <v>321686</v>
      </c>
      <c r="H17" s="78">
        <f t="shared" si="3"/>
        <v>-0.85446677816255601</v>
      </c>
      <c r="I17" s="42"/>
      <c r="J17" s="86"/>
      <c r="K17" s="86"/>
      <c r="L17" s="85"/>
      <c r="M17" s="71"/>
      <c r="N17" s="71"/>
      <c r="O17" s="71"/>
      <c r="P17" s="71"/>
      <c r="Q17" s="71"/>
      <c r="R17" s="70"/>
      <c r="S17" s="70"/>
      <c r="T17" s="70"/>
      <c r="U17" s="70"/>
      <c r="V17" s="70"/>
      <c r="W17" s="70"/>
      <c r="X17" s="70"/>
    </row>
    <row r="18" spans="1:24" x14ac:dyDescent="0.25">
      <c r="A18" s="38" t="s">
        <v>36</v>
      </c>
      <c r="B18" s="40">
        <f>SUM(B6:B17)</f>
        <v>1042637</v>
      </c>
      <c r="C18" s="40">
        <f>SUM(C6:C16)</f>
        <v>3261869</v>
      </c>
      <c r="D18" s="41">
        <f>B18/C18-1</f>
        <v>-0.68035595543536542</v>
      </c>
      <c r="E18" s="42"/>
      <c r="F18" s="40">
        <f>SUM(F6:F17)</f>
        <v>1042637</v>
      </c>
      <c r="G18" s="40">
        <f>SUM(G6:G16)</f>
        <v>3261869</v>
      </c>
      <c r="H18" s="41">
        <f>F18/G18-1</f>
        <v>-0.68035595543536542</v>
      </c>
      <c r="I18" s="42"/>
      <c r="J18" s="86"/>
      <c r="K18" s="86"/>
      <c r="L18" s="85"/>
      <c r="M18" s="71"/>
      <c r="N18" s="71"/>
      <c r="O18" s="71"/>
      <c r="P18" s="71"/>
      <c r="Q18" s="71"/>
      <c r="R18" s="70"/>
      <c r="S18" s="70"/>
      <c r="T18" s="70"/>
      <c r="U18" s="70"/>
      <c r="V18" s="70"/>
      <c r="W18" s="70"/>
      <c r="X18" s="70"/>
    </row>
    <row r="19" spans="1:24" x14ac:dyDescent="0.25">
      <c r="A19" s="37"/>
      <c r="B19" s="37"/>
      <c r="E19" s="42"/>
      <c r="M19" s="71"/>
      <c r="N19" s="71"/>
      <c r="O19" s="71"/>
      <c r="P19" s="71"/>
      <c r="Q19" s="71"/>
      <c r="R19" s="70"/>
      <c r="S19" s="70"/>
      <c r="T19" s="70"/>
      <c r="U19" s="70"/>
      <c r="V19" s="70"/>
      <c r="W19" s="70"/>
      <c r="X19" s="70"/>
    </row>
    <row r="20" spans="1:24" x14ac:dyDescent="0.25">
      <c r="A20" s="45" t="s">
        <v>38</v>
      </c>
      <c r="B20" s="37"/>
      <c r="G20" s="39"/>
      <c r="J20" s="39"/>
      <c r="K20" s="39"/>
      <c r="M20" s="74"/>
      <c r="N20" s="74"/>
      <c r="O20" s="74"/>
      <c r="P20" s="74"/>
      <c r="Q20" s="74"/>
    </row>
    <row r="21" spans="1:24" x14ac:dyDescent="0.25">
      <c r="A21" s="2" t="s">
        <v>50</v>
      </c>
      <c r="J21" s="39"/>
      <c r="K21" s="57"/>
      <c r="M21" s="74"/>
      <c r="N21" s="74"/>
      <c r="O21" s="74"/>
      <c r="P21" s="74"/>
      <c r="Q21" s="74"/>
    </row>
    <row r="22" spans="1:24" x14ac:dyDescent="0.25">
      <c r="M22" s="74"/>
      <c r="N22" s="74"/>
      <c r="O22" s="74"/>
      <c r="P22" s="74"/>
      <c r="Q22" s="74"/>
    </row>
    <row r="23" spans="1:24" x14ac:dyDescent="0.25">
      <c r="B23" s="29"/>
      <c r="C23" s="29"/>
      <c r="D23" s="29"/>
    </row>
  </sheetData>
  <mergeCells count="4">
    <mergeCell ref="B3:D3"/>
    <mergeCell ref="F3:H3"/>
    <mergeCell ref="J3:L3"/>
    <mergeCell ref="A1:L1"/>
  </mergeCells>
  <phoneticPr fontId="17" type="noConversion"/>
  <pageMargins left="0.7" right="0.7" top="0.75" bottom="0.75" header="0.3" footer="0.3"/>
  <pageSetup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P23"/>
  <sheetViews>
    <sheetView zoomScaleNormal="100" zoomScaleSheetLayoutView="100" workbookViewId="0">
      <selection activeCell="F30" sqref="F30"/>
    </sheetView>
  </sheetViews>
  <sheetFormatPr baseColWidth="10" defaultColWidth="8.83203125" defaultRowHeight="19" x14ac:dyDescent="0.25"/>
  <cols>
    <col min="1" max="12" width="13.83203125" style="33" customWidth="1"/>
  </cols>
  <sheetData>
    <row r="1" spans="1:16" ht="34" customHeight="1" x14ac:dyDescent="0.2">
      <c r="A1" s="94" t="s">
        <v>19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6" ht="15" x14ac:dyDescent="0.2">
      <c r="A2"/>
      <c r="B2"/>
      <c r="C2"/>
      <c r="D2"/>
      <c r="E2"/>
      <c r="F2"/>
      <c r="G2"/>
      <c r="H2"/>
      <c r="I2"/>
      <c r="J2"/>
      <c r="K2"/>
      <c r="L2"/>
    </row>
    <row r="3" spans="1:16" x14ac:dyDescent="0.25">
      <c r="A3" s="34"/>
      <c r="B3" s="95" t="s">
        <v>48</v>
      </c>
      <c r="C3" s="95"/>
      <c r="D3" s="95"/>
      <c r="E3" s="68"/>
      <c r="F3" s="96" t="s">
        <v>15</v>
      </c>
      <c r="G3" s="96"/>
      <c r="H3" s="96"/>
      <c r="I3" s="67"/>
      <c r="J3" s="97" t="s">
        <v>16</v>
      </c>
      <c r="K3" s="97"/>
      <c r="L3" s="97"/>
      <c r="M3" s="33"/>
    </row>
    <row r="4" spans="1:16" x14ac:dyDescent="0.25">
      <c r="A4" s="35"/>
      <c r="B4" s="36">
        <v>2020</v>
      </c>
      <c r="C4" s="36">
        <v>2019</v>
      </c>
      <c r="D4" s="36" t="s">
        <v>28</v>
      </c>
      <c r="E4" s="37"/>
      <c r="F4" s="36">
        <v>2020</v>
      </c>
      <c r="G4" s="36">
        <v>2019</v>
      </c>
      <c r="H4" s="36" t="s">
        <v>28</v>
      </c>
      <c r="I4" s="37"/>
      <c r="J4" s="36">
        <v>2020</v>
      </c>
      <c r="K4" s="36">
        <v>2019</v>
      </c>
      <c r="L4" s="36" t="s">
        <v>28</v>
      </c>
    </row>
    <row r="5" spans="1:16" x14ac:dyDescent="0.25">
      <c r="A5" s="58"/>
      <c r="B5" s="59"/>
      <c r="C5" s="60"/>
      <c r="D5" s="59"/>
      <c r="E5" s="37"/>
      <c r="F5" s="75"/>
      <c r="G5" s="75"/>
      <c r="H5" s="75"/>
      <c r="I5" s="37"/>
      <c r="J5" s="63"/>
      <c r="K5" s="64"/>
      <c r="L5" s="63"/>
      <c r="M5" s="33"/>
    </row>
    <row r="6" spans="1:16" x14ac:dyDescent="0.25">
      <c r="A6" s="38" t="s">
        <v>3</v>
      </c>
      <c r="B6" s="40">
        <v>454539</v>
      </c>
      <c r="C6" s="40">
        <v>396206</v>
      </c>
      <c r="D6" s="41">
        <f>B6/C6-1</f>
        <v>0.14722896674962005</v>
      </c>
      <c r="E6" s="42"/>
      <c r="F6" s="49">
        <f>B6-J6</f>
        <v>423719</v>
      </c>
      <c r="G6" s="49">
        <f>C6-K6</f>
        <v>369227</v>
      </c>
      <c r="H6" s="41">
        <f>F6/G6-1</f>
        <v>0.14758400658673398</v>
      </c>
      <c r="I6" s="37"/>
      <c r="J6" s="49">
        <f>20269+10551</f>
        <v>30820</v>
      </c>
      <c r="K6" s="49">
        <f>17554+9375+50</f>
        <v>26979</v>
      </c>
      <c r="L6" s="41">
        <f t="shared" ref="L6:L17" si="0">J6/K6-1</f>
        <v>0.14236999147485085</v>
      </c>
      <c r="M6" s="33"/>
      <c r="N6" s="6"/>
    </row>
    <row r="7" spans="1:16" x14ac:dyDescent="0.25">
      <c r="A7" s="58" t="s">
        <v>4</v>
      </c>
      <c r="B7" s="61">
        <v>419951</v>
      </c>
      <c r="C7" s="61">
        <v>363426</v>
      </c>
      <c r="D7" s="62">
        <f>B7/C7-1</f>
        <v>0.15553372626064177</v>
      </c>
      <c r="E7" s="42"/>
      <c r="F7" s="77">
        <f>B7-J7</f>
        <v>399082</v>
      </c>
      <c r="G7" s="77">
        <f t="shared" ref="G7:G10" si="1">C7-K7</f>
        <v>343205</v>
      </c>
      <c r="H7" s="78">
        <f>F7/G7-1</f>
        <v>0.16280939962995866</v>
      </c>
      <c r="I7" s="42"/>
      <c r="J7" s="65">
        <f>12339+8530</f>
        <v>20869</v>
      </c>
      <c r="K7" s="65">
        <f>12635+7586</f>
        <v>20221</v>
      </c>
      <c r="L7" s="66">
        <f t="shared" si="0"/>
        <v>3.2045892883635796E-2</v>
      </c>
      <c r="M7" s="33"/>
      <c r="N7" s="6"/>
    </row>
    <row r="8" spans="1:16" x14ac:dyDescent="0.25">
      <c r="A8" s="43" t="s">
        <v>5</v>
      </c>
      <c r="B8" s="40">
        <v>233776</v>
      </c>
      <c r="C8" s="40">
        <v>436701</v>
      </c>
      <c r="D8" s="41">
        <f>B8/C8-1</f>
        <v>-0.464677204769396</v>
      </c>
      <c r="E8" s="42"/>
      <c r="F8" s="40">
        <f>B8-J8</f>
        <v>221481</v>
      </c>
      <c r="G8" s="40">
        <f t="shared" si="1"/>
        <v>412440</v>
      </c>
      <c r="H8" s="41">
        <f>F8/G8-1</f>
        <v>-0.4629982542915333</v>
      </c>
      <c r="I8" s="42"/>
      <c r="J8" s="48">
        <f>5606+6689</f>
        <v>12295</v>
      </c>
      <c r="K8" s="48">
        <f>15347+8914</f>
        <v>24261</v>
      </c>
      <c r="L8" s="41">
        <f>J8/K8-1</f>
        <v>-0.49321957050410126</v>
      </c>
      <c r="M8" s="33"/>
      <c r="N8" s="6"/>
    </row>
    <row r="9" spans="1:16" x14ac:dyDescent="0.25">
      <c r="A9" s="58" t="s">
        <v>6</v>
      </c>
      <c r="B9" s="61">
        <f>F9+J9</f>
        <v>28916</v>
      </c>
      <c r="C9" s="61">
        <v>444948</v>
      </c>
      <c r="D9" s="62">
        <f>B9/C9-1</f>
        <v>-0.93501263068942886</v>
      </c>
      <c r="E9" s="42"/>
      <c r="F9" s="77">
        <v>28916</v>
      </c>
      <c r="G9" s="77">
        <f t="shared" si="1"/>
        <v>420699</v>
      </c>
      <c r="H9" s="78">
        <f>F9/G9-1</f>
        <v>-0.93126677268070523</v>
      </c>
      <c r="I9" s="42"/>
      <c r="J9" s="65">
        <v>0</v>
      </c>
      <c r="K9" s="65">
        <f>16045+8204</f>
        <v>24249</v>
      </c>
      <c r="L9" s="66">
        <f>J9/K9-1</f>
        <v>-1</v>
      </c>
      <c r="M9" s="33"/>
      <c r="N9" s="6"/>
    </row>
    <row r="10" spans="1:16" x14ac:dyDescent="0.25">
      <c r="A10" s="38" t="s">
        <v>7</v>
      </c>
      <c r="B10" s="40">
        <v>70296</v>
      </c>
      <c r="C10" s="40">
        <v>475400</v>
      </c>
      <c r="D10" s="41">
        <f>B10/C10-1</f>
        <v>-0.85213294068153134</v>
      </c>
      <c r="E10" s="42"/>
      <c r="F10" s="40">
        <v>70296</v>
      </c>
      <c r="G10" s="40">
        <f t="shared" si="1"/>
        <v>449233</v>
      </c>
      <c r="H10" s="41">
        <f>F10/G10-1</f>
        <v>-0.84351995512351052</v>
      </c>
      <c r="I10" s="42"/>
      <c r="J10" s="48">
        <v>0</v>
      </c>
      <c r="K10" s="48">
        <f>16077+10090</f>
        <v>26167</v>
      </c>
      <c r="L10" s="41">
        <f t="shared" si="0"/>
        <v>-1</v>
      </c>
      <c r="M10" s="33"/>
      <c r="N10" s="6"/>
    </row>
    <row r="11" spans="1:16" x14ac:dyDescent="0.25">
      <c r="A11" s="58" t="s">
        <v>8</v>
      </c>
      <c r="B11" s="61">
        <v>142029</v>
      </c>
      <c r="C11" s="61">
        <v>477681</v>
      </c>
      <c r="D11" s="62">
        <f t="shared" ref="D11:D17" si="2">B11/C11-1</f>
        <v>-0.70266977334246072</v>
      </c>
      <c r="E11" s="42"/>
      <c r="F11" s="77">
        <f t="shared" ref="F11:F16" si="3">B11-J11</f>
        <v>140629</v>
      </c>
      <c r="G11" s="77">
        <f t="shared" ref="G11:G16" si="4">C11-K11</f>
        <v>451211</v>
      </c>
      <c r="H11" s="78">
        <f t="shared" ref="H11:H17" si="5">F11/G11-1</f>
        <v>-0.68832985011446968</v>
      </c>
      <c r="I11" s="42"/>
      <c r="J11" s="65">
        <v>1400</v>
      </c>
      <c r="K11" s="65">
        <f>16810+9660</f>
        <v>26470</v>
      </c>
      <c r="L11" s="66">
        <f t="shared" si="0"/>
        <v>-0.94710993577635061</v>
      </c>
      <c r="M11" s="33"/>
      <c r="N11" s="6"/>
    </row>
    <row r="12" spans="1:16" x14ac:dyDescent="0.25">
      <c r="A12" s="38" t="s">
        <v>9</v>
      </c>
      <c r="B12" s="40">
        <v>176220</v>
      </c>
      <c r="C12" s="40">
        <v>494966</v>
      </c>
      <c r="D12" s="41">
        <f t="shared" si="2"/>
        <v>-0.64397554579506466</v>
      </c>
      <c r="E12" s="42"/>
      <c r="F12" s="40">
        <f t="shared" si="3"/>
        <v>172604</v>
      </c>
      <c r="G12" s="40">
        <f t="shared" si="4"/>
        <v>467990</v>
      </c>
      <c r="H12" s="41">
        <f t="shared" si="5"/>
        <v>-0.63118015342208167</v>
      </c>
      <c r="I12" s="42"/>
      <c r="J12" s="48">
        <v>3616</v>
      </c>
      <c r="K12" s="48">
        <f>16992+9984</f>
        <v>26976</v>
      </c>
      <c r="L12" s="41">
        <f t="shared" si="0"/>
        <v>-0.86595492289442466</v>
      </c>
      <c r="M12" s="33"/>
      <c r="N12" s="6"/>
    </row>
    <row r="13" spans="1:16" x14ac:dyDescent="0.25">
      <c r="A13" s="58" t="s">
        <v>10</v>
      </c>
      <c r="B13" s="61">
        <v>196531</v>
      </c>
      <c r="C13" s="61">
        <v>504102</v>
      </c>
      <c r="D13" s="62">
        <f>B13/C13-1</f>
        <v>-0.61013644064098138</v>
      </c>
      <c r="E13" s="42"/>
      <c r="F13" s="77">
        <f t="shared" si="3"/>
        <v>193142</v>
      </c>
      <c r="G13" s="77">
        <f t="shared" si="4"/>
        <v>478782</v>
      </c>
      <c r="H13" s="78">
        <f t="shared" si="5"/>
        <v>-0.5965971987250982</v>
      </c>
      <c r="I13" s="42"/>
      <c r="J13" s="65">
        <v>3389</v>
      </c>
      <c r="K13" s="65">
        <f>16303+9017</f>
        <v>25320</v>
      </c>
      <c r="L13" s="66">
        <f t="shared" si="0"/>
        <v>-0.86615323854660353</v>
      </c>
      <c r="M13" s="33"/>
      <c r="N13" s="6"/>
    </row>
    <row r="14" spans="1:16" s="54" customFormat="1" x14ac:dyDescent="0.25">
      <c r="A14" s="46" t="s">
        <v>11</v>
      </c>
      <c r="B14" s="40">
        <v>195037</v>
      </c>
      <c r="C14" s="40">
        <v>469324</v>
      </c>
      <c r="D14" s="41">
        <f>B14/C14-1</f>
        <v>-0.58442994605006349</v>
      </c>
      <c r="E14" s="42"/>
      <c r="F14" s="40">
        <f t="shared" si="3"/>
        <v>191467</v>
      </c>
      <c r="G14" s="80">
        <f t="shared" si="4"/>
        <v>446169</v>
      </c>
      <c r="H14" s="41">
        <f>F14/G14-1</f>
        <v>-0.57086440339871214</v>
      </c>
      <c r="I14" s="53"/>
      <c r="J14" s="55">
        <v>3570</v>
      </c>
      <c r="K14" s="55">
        <f>14518+8637</f>
        <v>23155</v>
      </c>
      <c r="L14" s="41">
        <f t="shared" si="0"/>
        <v>-0.84582163679550848</v>
      </c>
      <c r="M14" s="53"/>
      <c r="P14" s="56"/>
    </row>
    <row r="15" spans="1:16" x14ac:dyDescent="0.25">
      <c r="A15" s="58" t="s">
        <v>12</v>
      </c>
      <c r="B15" s="61">
        <v>217922</v>
      </c>
      <c r="C15" s="61">
        <v>504550</v>
      </c>
      <c r="D15" s="62">
        <f t="shared" si="2"/>
        <v>-0.56808641363591317</v>
      </c>
      <c r="E15" s="42"/>
      <c r="F15" s="77">
        <f t="shared" si="3"/>
        <v>213773</v>
      </c>
      <c r="G15" s="77">
        <f t="shared" si="4"/>
        <v>480318</v>
      </c>
      <c r="H15" s="78">
        <f t="shared" si="5"/>
        <v>-0.55493443926731878</v>
      </c>
      <c r="I15" s="42"/>
      <c r="J15" s="65">
        <v>4149</v>
      </c>
      <c r="K15" s="65">
        <f>15005+9227</f>
        <v>24232</v>
      </c>
      <c r="L15" s="66">
        <f t="shared" si="0"/>
        <v>-0.82878012545394519</v>
      </c>
      <c r="M15" s="33"/>
      <c r="N15" s="6"/>
    </row>
    <row r="16" spans="1:16" x14ac:dyDescent="0.25">
      <c r="A16" s="43" t="s">
        <v>13</v>
      </c>
      <c r="B16" s="40">
        <v>212726</v>
      </c>
      <c r="C16" s="40">
        <v>501639</v>
      </c>
      <c r="D16" s="41">
        <f>B16/C16-1</f>
        <v>-0.57593807499018213</v>
      </c>
      <c r="E16" s="42"/>
      <c r="F16" s="80">
        <f t="shared" si="3"/>
        <v>205526</v>
      </c>
      <c r="G16" s="44">
        <f t="shared" si="4"/>
        <v>475453</v>
      </c>
      <c r="H16" s="41">
        <f>F16/G16-1</f>
        <v>-0.56772593715887798</v>
      </c>
      <c r="I16" s="42"/>
      <c r="J16" s="48">
        <v>7200</v>
      </c>
      <c r="K16" s="48">
        <f>17203+8983</f>
        <v>26186</v>
      </c>
      <c r="L16" s="41">
        <f t="shared" si="0"/>
        <v>-0.72504391659665468</v>
      </c>
      <c r="M16" s="33"/>
    </row>
    <row r="17" spans="1:13" x14ac:dyDescent="0.25">
      <c r="A17" s="58" t="s">
        <v>14</v>
      </c>
      <c r="B17" s="61">
        <v>190534</v>
      </c>
      <c r="C17" s="61">
        <v>514789</v>
      </c>
      <c r="D17" s="62">
        <f t="shared" si="2"/>
        <v>-0.62987942632806837</v>
      </c>
      <c r="E17" s="42"/>
      <c r="F17" s="77">
        <f>B17-J17</f>
        <v>182779</v>
      </c>
      <c r="G17" s="77">
        <f>C17-K17</f>
        <v>455086</v>
      </c>
      <c r="H17" s="78">
        <f t="shared" si="5"/>
        <v>-0.59836382573843183</v>
      </c>
      <c r="I17" s="42"/>
      <c r="J17" s="65">
        <v>7755</v>
      </c>
      <c r="K17" s="65">
        <f>48455+11248</f>
        <v>59703</v>
      </c>
      <c r="L17" s="66">
        <f t="shared" si="0"/>
        <v>-0.87010702979749754</v>
      </c>
      <c r="M17" s="33"/>
    </row>
    <row r="18" spans="1:13" x14ac:dyDescent="0.25">
      <c r="A18" s="38" t="s">
        <v>36</v>
      </c>
      <c r="B18" s="40">
        <f>SUM(B6:B17)</f>
        <v>2538477</v>
      </c>
      <c r="C18" s="40">
        <f>SUM(C6:C17)</f>
        <v>5583732</v>
      </c>
      <c r="D18" s="41">
        <f>B18/C18-1</f>
        <v>-0.54537986421984441</v>
      </c>
      <c r="E18" s="42"/>
      <c r="F18" s="40">
        <f>SUM(F6:F17)</f>
        <v>2443414</v>
      </c>
      <c r="G18" s="40">
        <f>SUM(G6:G17)</f>
        <v>5249813</v>
      </c>
      <c r="H18" s="41">
        <f>F18/G18-1</f>
        <v>-0.53457123139433727</v>
      </c>
      <c r="I18" s="42"/>
      <c r="J18" s="40">
        <f>SUM(J6:J17)</f>
        <v>95063</v>
      </c>
      <c r="K18" s="40">
        <f>SUM(K6:K17)</f>
        <v>333919</v>
      </c>
      <c r="L18" s="41">
        <f>J18/K18-1</f>
        <v>-0.71531119822471911</v>
      </c>
      <c r="M18" s="33"/>
    </row>
    <row r="19" spans="1:13" x14ac:dyDescent="0.25">
      <c r="A19" s="37"/>
      <c r="B19" s="37"/>
      <c r="E19" s="42"/>
      <c r="M19" s="33"/>
    </row>
    <row r="20" spans="1:13" x14ac:dyDescent="0.25">
      <c r="A20" s="45" t="s">
        <v>39</v>
      </c>
      <c r="B20" s="37"/>
      <c r="G20" s="39"/>
      <c r="J20" s="39"/>
      <c r="K20" s="39"/>
      <c r="M20" s="33"/>
    </row>
    <row r="21" spans="1:13" x14ac:dyDescent="0.25">
      <c r="A21" s="2" t="s">
        <v>53</v>
      </c>
      <c r="J21" s="39"/>
      <c r="K21" s="57"/>
    </row>
    <row r="23" spans="1:13" x14ac:dyDescent="0.25">
      <c r="B23" s="29"/>
      <c r="C23" s="29"/>
      <c r="D23" s="29"/>
    </row>
  </sheetData>
  <mergeCells count="4">
    <mergeCell ref="B3:D3"/>
    <mergeCell ref="F3:H3"/>
    <mergeCell ref="J3:L3"/>
    <mergeCell ref="A1:L1"/>
  </mergeCells>
  <phoneticPr fontId="17" type="noConversion"/>
  <pageMargins left="0.7" right="0.7" top="0.75" bottom="0.75" header="0.3" footer="0.3"/>
  <pageSetup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BA957"/>
    <pageSetUpPr fitToPage="1"/>
  </sheetPr>
  <dimension ref="A1:BU23"/>
  <sheetViews>
    <sheetView zoomScaleNormal="100" zoomScaleSheetLayoutView="90" workbookViewId="0">
      <selection activeCell="C19" sqref="C19"/>
    </sheetView>
  </sheetViews>
  <sheetFormatPr baseColWidth="10" defaultColWidth="9.1640625" defaultRowHeight="19" x14ac:dyDescent="0.25"/>
  <cols>
    <col min="1" max="12" width="13.83203125" style="33" customWidth="1"/>
    <col min="13" max="16384" width="9.1640625" style="33"/>
  </cols>
  <sheetData>
    <row r="1" spans="1:73" ht="36" customHeight="1" x14ac:dyDescent="0.25">
      <c r="A1" s="94" t="s">
        <v>23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73" x14ac:dyDescent="0.25">
      <c r="A2"/>
      <c r="B2"/>
      <c r="C2"/>
      <c r="D2"/>
      <c r="E2"/>
      <c r="F2"/>
      <c r="G2"/>
      <c r="H2"/>
      <c r="I2"/>
      <c r="J2"/>
      <c r="K2"/>
      <c r="L2"/>
    </row>
    <row r="3" spans="1:73" x14ac:dyDescent="0.25">
      <c r="A3" s="34"/>
      <c r="B3" s="95" t="s">
        <v>48</v>
      </c>
      <c r="C3" s="95"/>
      <c r="D3" s="95"/>
      <c r="E3" s="68"/>
      <c r="F3" s="96" t="s">
        <v>15</v>
      </c>
      <c r="G3" s="96"/>
      <c r="H3" s="96"/>
      <c r="I3" s="67"/>
      <c r="J3" s="97" t="s">
        <v>16</v>
      </c>
      <c r="K3" s="97"/>
      <c r="L3" s="97"/>
      <c r="M3" s="42"/>
      <c r="N3" s="42"/>
      <c r="O3" s="42"/>
      <c r="P3" s="42"/>
      <c r="Q3" s="42"/>
      <c r="R3" s="42"/>
    </row>
    <row r="4" spans="1:73" customFormat="1" x14ac:dyDescent="0.25">
      <c r="A4" s="35"/>
      <c r="B4" s="36">
        <v>2020</v>
      </c>
      <c r="C4" s="36">
        <v>2019</v>
      </c>
      <c r="D4" s="36" t="s">
        <v>28</v>
      </c>
      <c r="E4" s="37"/>
      <c r="F4" s="36">
        <v>2020</v>
      </c>
      <c r="G4" s="36">
        <v>2019</v>
      </c>
      <c r="H4" s="36" t="s">
        <v>28</v>
      </c>
      <c r="I4" s="37"/>
      <c r="J4" s="36">
        <v>2020</v>
      </c>
      <c r="K4" s="36">
        <v>2019</v>
      </c>
      <c r="L4" s="36" t="s">
        <v>28</v>
      </c>
    </row>
    <row r="5" spans="1:73" x14ac:dyDescent="0.25">
      <c r="A5" s="58"/>
      <c r="B5" s="59"/>
      <c r="C5" s="60"/>
      <c r="D5" s="59"/>
      <c r="E5" s="37"/>
      <c r="F5" s="75"/>
      <c r="G5" s="76"/>
      <c r="H5" s="75"/>
      <c r="I5" s="37"/>
      <c r="J5" s="63"/>
      <c r="K5" s="64"/>
      <c r="L5" s="63"/>
      <c r="M5" s="42"/>
      <c r="N5" s="42"/>
      <c r="O5" s="42"/>
      <c r="P5" s="42"/>
      <c r="Q5" s="42"/>
      <c r="R5" s="42"/>
    </row>
    <row r="6" spans="1:73" x14ac:dyDescent="0.25">
      <c r="A6" s="38" t="s">
        <v>3</v>
      </c>
      <c r="B6" s="40">
        <v>806386</v>
      </c>
      <c r="C6" s="40">
        <v>819358</v>
      </c>
      <c r="D6" s="41">
        <f>B6/C6-1</f>
        <v>-1.5831907420199687E-2</v>
      </c>
      <c r="E6" s="42"/>
      <c r="F6" s="49">
        <f>B6-J6</f>
        <v>798938</v>
      </c>
      <c r="G6" s="49">
        <v>805464</v>
      </c>
      <c r="H6" s="41">
        <f>F6/G6-1</f>
        <v>-8.1021622319557007E-3</v>
      </c>
      <c r="I6" s="37"/>
      <c r="J6" s="92">
        <v>7448</v>
      </c>
      <c r="K6" s="49">
        <v>13928</v>
      </c>
      <c r="L6" s="41">
        <f>J6/K6-1</f>
        <v>-0.46524985640436534</v>
      </c>
      <c r="M6" s="42"/>
      <c r="N6" s="42"/>
      <c r="O6" s="42"/>
      <c r="P6" s="42"/>
      <c r="Q6" s="42"/>
      <c r="R6" s="42"/>
    </row>
    <row r="7" spans="1:73" x14ac:dyDescent="0.25">
      <c r="A7" s="58" t="s">
        <v>4</v>
      </c>
      <c r="B7" s="61">
        <v>764506</v>
      </c>
      <c r="C7" s="61">
        <v>789523</v>
      </c>
      <c r="D7" s="62">
        <f t="shared" ref="D7:D16" si="0">B7/C7-1</f>
        <v>-3.1686220667415665E-2</v>
      </c>
      <c r="E7" s="42"/>
      <c r="F7" s="77">
        <f>B7-J7</f>
        <v>757521</v>
      </c>
      <c r="G7" s="77">
        <v>776564</v>
      </c>
      <c r="H7" s="78">
        <f>F7/G7-1</f>
        <v>-2.452212567154799E-2</v>
      </c>
      <c r="I7" s="42"/>
      <c r="J7" s="65">
        <v>6985</v>
      </c>
      <c r="K7" s="65">
        <v>12993</v>
      </c>
      <c r="L7" s="66">
        <f>J7/K7-1</f>
        <v>-0.46240283229431234</v>
      </c>
      <c r="M7" s="42"/>
      <c r="N7" s="42"/>
      <c r="O7" s="42"/>
      <c r="P7" s="42"/>
      <c r="Q7" s="42"/>
      <c r="R7" s="42"/>
    </row>
    <row r="8" spans="1:73" x14ac:dyDescent="0.25">
      <c r="A8" s="43" t="s">
        <v>5</v>
      </c>
      <c r="B8" s="40">
        <v>337981</v>
      </c>
      <c r="C8" s="40">
        <v>923403</v>
      </c>
      <c r="D8" s="41">
        <f t="shared" si="0"/>
        <v>-0.63398321209699349</v>
      </c>
      <c r="E8" s="42"/>
      <c r="F8" s="40">
        <f>B8-J8</f>
        <v>335168</v>
      </c>
      <c r="G8" s="40">
        <v>906776</v>
      </c>
      <c r="H8" s="41">
        <f>F8/G8-1</f>
        <v>-0.63037398431365632</v>
      </c>
      <c r="I8" s="42"/>
      <c r="J8" s="48">
        <v>2813</v>
      </c>
      <c r="K8" s="48">
        <v>16693</v>
      </c>
      <c r="L8" s="41">
        <f>J8/K8-1</f>
        <v>-0.83148625172227875</v>
      </c>
      <c r="M8" s="42"/>
      <c r="N8" s="42"/>
      <c r="O8" s="42"/>
      <c r="P8" s="42"/>
      <c r="Q8" s="42"/>
      <c r="R8" s="42"/>
    </row>
    <row r="9" spans="1:73" x14ac:dyDescent="0.25">
      <c r="A9" s="58" t="s">
        <v>6</v>
      </c>
      <c r="B9" s="61">
        <f>F9+J9</f>
        <v>25313</v>
      </c>
      <c r="C9" s="61">
        <v>899276</v>
      </c>
      <c r="D9" s="62">
        <f t="shared" si="0"/>
        <v>-0.97185180078196243</v>
      </c>
      <c r="E9" s="42"/>
      <c r="F9" s="77">
        <v>25313</v>
      </c>
      <c r="G9" s="77">
        <f t="shared" ref="G9:G11" si="1">C9-K9</f>
        <v>880999</v>
      </c>
      <c r="H9" s="78">
        <f>F9/G9-1</f>
        <v>-0.97126784479891581</v>
      </c>
      <c r="I9" s="42"/>
      <c r="J9" s="65">
        <v>0</v>
      </c>
      <c r="K9" s="65">
        <v>18277</v>
      </c>
      <c r="L9" s="66">
        <f>J9/K9-1</f>
        <v>-1</v>
      </c>
      <c r="M9" s="42"/>
      <c r="N9" s="42"/>
      <c r="O9" s="42"/>
      <c r="P9" s="42"/>
      <c r="Q9" s="42"/>
      <c r="R9" s="42"/>
    </row>
    <row r="10" spans="1:73" x14ac:dyDescent="0.25">
      <c r="A10" s="38" t="s">
        <v>7</v>
      </c>
      <c r="B10" s="40">
        <v>82342</v>
      </c>
      <c r="C10" s="40">
        <v>942872</v>
      </c>
      <c r="D10" s="41">
        <f t="shared" si="0"/>
        <v>-0.91266895188318242</v>
      </c>
      <c r="E10" s="42"/>
      <c r="F10" s="40">
        <v>82342</v>
      </c>
      <c r="G10" s="40">
        <f t="shared" si="1"/>
        <v>923209</v>
      </c>
      <c r="H10" s="41">
        <f>F10/G10-1</f>
        <v>-0.9108089284224915</v>
      </c>
      <c r="I10" s="42"/>
      <c r="J10" s="48">
        <v>0</v>
      </c>
      <c r="K10" s="48">
        <v>19663</v>
      </c>
      <c r="L10" s="41">
        <f t="shared" ref="L10:L17" si="2">J10/K10-1</f>
        <v>-1</v>
      </c>
      <c r="M10" s="42"/>
      <c r="N10" s="42"/>
      <c r="O10" s="42"/>
      <c r="P10" s="42"/>
      <c r="Q10" s="42"/>
      <c r="R10" s="42"/>
    </row>
    <row r="11" spans="1:73" s="52" customFormat="1" x14ac:dyDescent="0.25">
      <c r="A11" s="58" t="s">
        <v>8</v>
      </c>
      <c r="B11" s="61">
        <v>181486</v>
      </c>
      <c r="C11" s="61">
        <v>918913</v>
      </c>
      <c r="D11" s="62">
        <f t="shared" si="0"/>
        <v>-0.80249925727462768</v>
      </c>
      <c r="E11" s="42"/>
      <c r="F11" s="77">
        <v>181486</v>
      </c>
      <c r="G11" s="77">
        <f t="shared" si="1"/>
        <v>902201</v>
      </c>
      <c r="H11" s="78">
        <f t="shared" ref="H11:H15" si="3">F11/G11-1</f>
        <v>-0.79884083480288759</v>
      </c>
      <c r="I11" s="42"/>
      <c r="J11" s="65">
        <v>0</v>
      </c>
      <c r="K11" s="65">
        <v>16712</v>
      </c>
      <c r="L11" s="66">
        <f t="shared" si="2"/>
        <v>-1</v>
      </c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</row>
    <row r="12" spans="1:73" s="53" customFormat="1" x14ac:dyDescent="0.25">
      <c r="A12" s="38" t="s">
        <v>9</v>
      </c>
      <c r="B12" s="40">
        <v>239120</v>
      </c>
      <c r="C12" s="40">
        <v>946111</v>
      </c>
      <c r="D12" s="41">
        <f t="shared" si="0"/>
        <v>-0.74726009950206684</v>
      </c>
      <c r="E12" s="42"/>
      <c r="F12" s="40">
        <v>239120</v>
      </c>
      <c r="G12" s="48">
        <f t="shared" ref="G12:G17" si="4">C12-K12</f>
        <v>930107</v>
      </c>
      <c r="H12" s="41">
        <f t="shared" si="3"/>
        <v>-0.74291129945264367</v>
      </c>
      <c r="I12" s="42"/>
      <c r="J12" s="48">
        <v>0</v>
      </c>
      <c r="K12" s="48">
        <v>16004</v>
      </c>
      <c r="L12" s="41">
        <f t="shared" si="2"/>
        <v>-1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</row>
    <row r="13" spans="1:73" s="52" customFormat="1" x14ac:dyDescent="0.25">
      <c r="A13" s="58" t="s">
        <v>10</v>
      </c>
      <c r="B13" s="61">
        <v>266986</v>
      </c>
      <c r="C13" s="61">
        <v>942541</v>
      </c>
      <c r="D13" s="62">
        <f t="shared" si="0"/>
        <v>-0.71673805171340033</v>
      </c>
      <c r="E13" s="42"/>
      <c r="F13" s="77">
        <v>266986</v>
      </c>
      <c r="G13" s="77">
        <f t="shared" si="4"/>
        <v>931877</v>
      </c>
      <c r="H13" s="78">
        <f t="shared" si="3"/>
        <v>-0.71349652368284655</v>
      </c>
      <c r="I13" s="42"/>
      <c r="J13" s="65">
        <v>0</v>
      </c>
      <c r="K13" s="65">
        <v>10664</v>
      </c>
      <c r="L13" s="66">
        <f>J13/K13-1</f>
        <v>-1</v>
      </c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</row>
    <row r="14" spans="1:73" x14ac:dyDescent="0.25">
      <c r="A14" s="46" t="s">
        <v>11</v>
      </c>
      <c r="B14" s="40">
        <v>274813</v>
      </c>
      <c r="C14" s="40">
        <v>859174</v>
      </c>
      <c r="D14" s="41">
        <f>B14/C14-1</f>
        <v>-0.68014278830597763</v>
      </c>
      <c r="E14" s="42"/>
      <c r="F14" s="40">
        <v>274813</v>
      </c>
      <c r="G14" s="80">
        <f t="shared" si="4"/>
        <v>846589</v>
      </c>
      <c r="H14" s="41">
        <f>F14/G14-1</f>
        <v>-0.67538793912984929</v>
      </c>
      <c r="I14" s="53"/>
      <c r="J14" s="55">
        <v>0</v>
      </c>
      <c r="K14" s="55">
        <v>12585</v>
      </c>
      <c r="L14" s="41">
        <f>J14/K14-1</f>
        <v>-1</v>
      </c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</row>
    <row r="15" spans="1:73" s="52" customFormat="1" x14ac:dyDescent="0.25">
      <c r="A15" s="58" t="s">
        <v>12</v>
      </c>
      <c r="B15" s="61">
        <v>307865</v>
      </c>
      <c r="C15" s="61">
        <v>897873</v>
      </c>
      <c r="D15" s="62">
        <f t="shared" si="0"/>
        <v>-0.65711743197534611</v>
      </c>
      <c r="E15" s="42"/>
      <c r="F15" s="77">
        <v>307865</v>
      </c>
      <c r="G15" s="77">
        <f t="shared" si="4"/>
        <v>886140</v>
      </c>
      <c r="H15" s="78">
        <f t="shared" si="3"/>
        <v>-0.65257747082853723</v>
      </c>
      <c r="I15" s="42"/>
      <c r="J15" s="65">
        <v>0</v>
      </c>
      <c r="K15" s="65">
        <v>11733</v>
      </c>
      <c r="L15" s="66">
        <f t="shared" si="2"/>
        <v>-1</v>
      </c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</row>
    <row r="16" spans="1:73" x14ac:dyDescent="0.25">
      <c r="A16" s="43" t="s">
        <v>13</v>
      </c>
      <c r="B16" s="40">
        <v>277020</v>
      </c>
      <c r="C16" s="44">
        <v>827140</v>
      </c>
      <c r="D16" s="41">
        <f t="shared" si="0"/>
        <v>-0.66508692603428687</v>
      </c>
      <c r="E16" s="42"/>
      <c r="F16" s="40">
        <v>277020</v>
      </c>
      <c r="G16" s="44">
        <f t="shared" si="4"/>
        <v>814962</v>
      </c>
      <c r="H16" s="41">
        <f>F16/G16-1</f>
        <v>-0.66008231058626055</v>
      </c>
      <c r="I16" s="42"/>
      <c r="J16" s="48">
        <v>0</v>
      </c>
      <c r="K16" s="48">
        <v>12178</v>
      </c>
      <c r="L16" s="41">
        <f>J16/K16-1</f>
        <v>-1</v>
      </c>
      <c r="M16" s="42"/>
      <c r="N16" s="42"/>
      <c r="O16" s="42"/>
      <c r="P16" s="42"/>
      <c r="Q16" s="42"/>
      <c r="R16" s="42"/>
    </row>
    <row r="17" spans="1:18" x14ac:dyDescent="0.25">
      <c r="A17" s="58" t="s">
        <v>14</v>
      </c>
      <c r="B17" s="61">
        <v>231033</v>
      </c>
      <c r="C17" s="61">
        <v>891492</v>
      </c>
      <c r="D17" s="62">
        <f>B17/C17-1</f>
        <v>-0.7408468051311734</v>
      </c>
      <c r="E17" s="42"/>
      <c r="F17" s="77">
        <v>231033</v>
      </c>
      <c r="G17" s="77">
        <f t="shared" si="4"/>
        <v>878655</v>
      </c>
      <c r="H17" s="78">
        <f>F17/G17-1</f>
        <v>-0.73706062106287451</v>
      </c>
      <c r="I17" s="42"/>
      <c r="J17" s="65"/>
      <c r="K17" s="65">
        <v>12837</v>
      </c>
      <c r="L17" s="66">
        <f t="shared" si="2"/>
        <v>-1</v>
      </c>
      <c r="M17" s="42"/>
      <c r="N17" s="42"/>
      <c r="O17" s="42"/>
      <c r="P17" s="42"/>
      <c r="Q17" s="42"/>
      <c r="R17" s="42"/>
    </row>
    <row r="18" spans="1:18" x14ac:dyDescent="0.25">
      <c r="A18" s="38" t="s">
        <v>29</v>
      </c>
      <c r="B18" s="40">
        <f>SUM(B6:B17)</f>
        <v>3794851</v>
      </c>
      <c r="C18" s="40">
        <f>SUM(C6:C17)</f>
        <v>10657676</v>
      </c>
      <c r="D18" s="41">
        <f>B18/C18-1</f>
        <v>-0.64393259843890926</v>
      </c>
      <c r="E18" s="42"/>
      <c r="F18" s="40">
        <f>SUM(F6:F17)</f>
        <v>3777605</v>
      </c>
      <c r="G18" s="40">
        <f>SUM(G6:G17)</f>
        <v>10483543</v>
      </c>
      <c r="H18" s="41">
        <f>F18/G18-1</f>
        <v>-0.63966332756015787</v>
      </c>
      <c r="I18" s="42"/>
      <c r="J18" s="40">
        <f>SUM(J6:J17)</f>
        <v>17246</v>
      </c>
      <c r="K18" s="40">
        <f>SUM(K6:K17)</f>
        <v>174267</v>
      </c>
      <c r="L18" s="41">
        <f>J18/K18-1</f>
        <v>-0.90103691461952062</v>
      </c>
      <c r="M18" s="42"/>
      <c r="N18" s="42"/>
      <c r="O18" s="42"/>
      <c r="P18" s="42"/>
      <c r="Q18" s="42"/>
      <c r="R18" s="42"/>
    </row>
    <row r="19" spans="1:18" x14ac:dyDescent="0.25">
      <c r="A19" s="37"/>
      <c r="B19" s="37"/>
      <c r="E19" s="42"/>
      <c r="I19" s="42"/>
    </row>
    <row r="20" spans="1:18" x14ac:dyDescent="0.25">
      <c r="A20" s="45" t="s">
        <v>40</v>
      </c>
      <c r="B20" s="37"/>
      <c r="G20" s="39"/>
      <c r="J20" s="39"/>
      <c r="K20" s="39"/>
    </row>
    <row r="21" spans="1:18" x14ac:dyDescent="0.25">
      <c r="A21" s="2" t="s">
        <v>50</v>
      </c>
      <c r="J21" s="39"/>
      <c r="K21" s="57"/>
    </row>
    <row r="23" spans="1:18" x14ac:dyDescent="0.25">
      <c r="B23" s="29"/>
      <c r="C23" s="29"/>
      <c r="D23" s="29"/>
    </row>
  </sheetData>
  <mergeCells count="4">
    <mergeCell ref="B3:D3"/>
    <mergeCell ref="F3:H3"/>
    <mergeCell ref="J3:L3"/>
    <mergeCell ref="A1:L1"/>
  </mergeCells>
  <phoneticPr fontId="17" type="noConversion"/>
  <pageMargins left="0.7" right="0.7" top="0.75" bottom="0.75" header="0.3" footer="0.3"/>
  <pageSetup scale="5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39997558519241921"/>
    <pageSetUpPr fitToPage="1"/>
  </sheetPr>
  <dimension ref="A1:T23"/>
  <sheetViews>
    <sheetView zoomScaleNormal="100" zoomScaleSheetLayoutView="100" workbookViewId="0">
      <selection activeCell="K19" sqref="K19"/>
    </sheetView>
  </sheetViews>
  <sheetFormatPr baseColWidth="10" defaultColWidth="9.1640625" defaultRowHeight="19" x14ac:dyDescent="0.25"/>
  <cols>
    <col min="1" max="2" width="13.83203125" style="33" customWidth="1"/>
    <col min="3" max="3" width="15.1640625" style="33" bestFit="1" customWidth="1"/>
    <col min="4" max="12" width="13.83203125" style="33" customWidth="1"/>
    <col min="13" max="16384" width="9.1640625" style="33"/>
  </cols>
  <sheetData>
    <row r="1" spans="1:20" s="42" customFormat="1" ht="34" customHeight="1" x14ac:dyDescent="0.25">
      <c r="A1" s="94" t="s">
        <v>18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20" x14ac:dyDescent="0.25">
      <c r="A2"/>
      <c r="B2"/>
      <c r="C2"/>
      <c r="D2"/>
      <c r="E2"/>
      <c r="F2"/>
      <c r="G2"/>
      <c r="H2"/>
      <c r="I2"/>
      <c r="J2"/>
      <c r="K2"/>
      <c r="L2"/>
    </row>
    <row r="3" spans="1:20" x14ac:dyDescent="0.25">
      <c r="A3" s="34"/>
      <c r="B3" s="95" t="s">
        <v>48</v>
      </c>
      <c r="C3" s="95"/>
      <c r="D3" s="95"/>
      <c r="E3" s="68"/>
      <c r="F3" s="96" t="s">
        <v>15</v>
      </c>
      <c r="G3" s="96"/>
      <c r="H3" s="96"/>
      <c r="I3" s="67"/>
      <c r="J3" s="97" t="s">
        <v>16</v>
      </c>
      <c r="K3" s="97"/>
      <c r="L3" s="97"/>
    </row>
    <row r="4" spans="1:20" customFormat="1" x14ac:dyDescent="0.25">
      <c r="A4" s="35"/>
      <c r="B4" s="36">
        <v>2020</v>
      </c>
      <c r="C4" s="36">
        <v>2019</v>
      </c>
      <c r="D4" s="36" t="s">
        <v>28</v>
      </c>
      <c r="E4" s="37"/>
      <c r="F4" s="36">
        <v>2020</v>
      </c>
      <c r="G4" s="36">
        <v>2019</v>
      </c>
      <c r="H4" s="36" t="s">
        <v>28</v>
      </c>
      <c r="I4" s="37"/>
      <c r="J4" s="36">
        <v>2020</v>
      </c>
      <c r="K4" s="36">
        <v>2019</v>
      </c>
      <c r="L4" s="36" t="s">
        <v>28</v>
      </c>
    </row>
    <row r="5" spans="1:20" x14ac:dyDescent="0.25">
      <c r="A5" s="58"/>
      <c r="B5" s="59"/>
      <c r="C5" s="60"/>
      <c r="D5" s="59"/>
      <c r="E5" s="37"/>
      <c r="F5" s="75"/>
      <c r="G5" s="76"/>
      <c r="H5" s="75"/>
      <c r="I5" s="37"/>
      <c r="J5" s="65"/>
      <c r="K5" s="65"/>
      <c r="L5" s="65"/>
    </row>
    <row r="6" spans="1:20" x14ac:dyDescent="0.25">
      <c r="A6" s="38" t="s">
        <v>3</v>
      </c>
      <c r="B6" s="40">
        <v>905817</v>
      </c>
      <c r="C6" s="40">
        <v>954160</v>
      </c>
      <c r="D6" s="41">
        <f t="shared" ref="D6:D18" si="0">B6/C6-1</f>
        <v>-5.0665506833235563E-2</v>
      </c>
      <c r="E6" s="42"/>
      <c r="F6" s="48">
        <f t="shared" ref="F6:G8" si="1">B6-J6</f>
        <v>873145</v>
      </c>
      <c r="G6" s="48">
        <f>C6-K6</f>
        <v>905745</v>
      </c>
      <c r="H6" s="41">
        <f>F6/G6-1</f>
        <v>-3.5992470286890899E-2</v>
      </c>
      <c r="I6" s="37"/>
      <c r="J6" s="80">
        <v>32672</v>
      </c>
      <c r="K6" s="80">
        <v>48415</v>
      </c>
      <c r="L6" s="41">
        <f>J6/K6-1</f>
        <v>-0.32516781989052979</v>
      </c>
    </row>
    <row r="7" spans="1:20" x14ac:dyDescent="0.25">
      <c r="A7" s="58" t="s">
        <v>4</v>
      </c>
      <c r="B7" s="61">
        <v>845576</v>
      </c>
      <c r="C7" s="61">
        <v>881204</v>
      </c>
      <c r="D7" s="62">
        <f t="shared" si="0"/>
        <v>-4.0431046613496946E-2</v>
      </c>
      <c r="E7" s="42"/>
      <c r="F7" s="77">
        <f t="shared" si="1"/>
        <v>818992</v>
      </c>
      <c r="G7" s="77">
        <f t="shared" si="1"/>
        <v>838441</v>
      </c>
      <c r="H7" s="78">
        <f t="shared" ref="H7:H18" si="2">F7/G7-1</f>
        <v>-2.3196623256734772E-2</v>
      </c>
      <c r="I7" s="42"/>
      <c r="J7" s="65">
        <v>26584</v>
      </c>
      <c r="K7" s="65">
        <v>42763</v>
      </c>
      <c r="L7" s="66">
        <f t="shared" ref="L7:L18" si="3">J7/K7-1</f>
        <v>-0.37834108925940646</v>
      </c>
    </row>
    <row r="8" spans="1:20" x14ac:dyDescent="0.25">
      <c r="A8" s="43" t="s">
        <v>5</v>
      </c>
      <c r="B8" s="40">
        <v>451799</v>
      </c>
      <c r="C8" s="40">
        <v>1095906</v>
      </c>
      <c r="D8" s="41">
        <f t="shared" si="0"/>
        <v>-0.58773927690878591</v>
      </c>
      <c r="E8" s="42"/>
      <c r="F8" s="55">
        <f>B8-J8</f>
        <v>431602</v>
      </c>
      <c r="G8" s="55">
        <f t="shared" si="1"/>
        <v>1043674</v>
      </c>
      <c r="H8" s="41">
        <f t="shared" si="2"/>
        <v>-0.5864589900677798</v>
      </c>
      <c r="I8" s="42"/>
      <c r="J8" s="80">
        <v>20197</v>
      </c>
      <c r="K8" s="80">
        <v>52232</v>
      </c>
      <c r="L8" s="41">
        <f t="shared" si="3"/>
        <v>-0.61332133557972124</v>
      </c>
    </row>
    <row r="9" spans="1:20" x14ac:dyDescent="0.25">
      <c r="A9" s="58" t="s">
        <v>6</v>
      </c>
      <c r="B9" s="61">
        <f>F9+J9</f>
        <v>45819</v>
      </c>
      <c r="C9" s="61">
        <v>1136370</v>
      </c>
      <c r="D9" s="62">
        <f t="shared" si="0"/>
        <v>-0.95967950579476757</v>
      </c>
      <c r="E9" s="42"/>
      <c r="F9" s="77">
        <v>41910</v>
      </c>
      <c r="G9" s="77">
        <f t="shared" ref="G9:G14" si="4">C9-K9</f>
        <v>1064621</v>
      </c>
      <c r="H9" s="78">
        <f t="shared" si="2"/>
        <v>-0.96063387815945767</v>
      </c>
      <c r="I9" s="42"/>
      <c r="J9" s="65">
        <v>3909</v>
      </c>
      <c r="K9" s="65">
        <v>71749</v>
      </c>
      <c r="L9" s="66">
        <f t="shared" si="3"/>
        <v>-0.94551840443769253</v>
      </c>
    </row>
    <row r="10" spans="1:20" x14ac:dyDescent="0.25">
      <c r="A10" s="38" t="s">
        <v>7</v>
      </c>
      <c r="B10" s="40">
        <v>105593</v>
      </c>
      <c r="C10" s="40">
        <v>1204966</v>
      </c>
      <c r="D10" s="41">
        <f t="shared" si="0"/>
        <v>-0.91236848176629048</v>
      </c>
      <c r="E10" s="42"/>
      <c r="F10" s="40">
        <v>105593</v>
      </c>
      <c r="G10" s="48">
        <f t="shared" si="4"/>
        <v>1131736</v>
      </c>
      <c r="H10" s="41">
        <f t="shared" si="2"/>
        <v>-0.90669820523514322</v>
      </c>
      <c r="I10" s="42"/>
      <c r="J10" s="80">
        <v>0</v>
      </c>
      <c r="K10" s="80">
        <v>73230</v>
      </c>
      <c r="L10" s="41">
        <f t="shared" si="3"/>
        <v>-1</v>
      </c>
    </row>
    <row r="11" spans="1:20" x14ac:dyDescent="0.25">
      <c r="A11" s="58" t="s">
        <v>8</v>
      </c>
      <c r="B11" s="61">
        <v>255052</v>
      </c>
      <c r="C11" s="61">
        <v>1221824</v>
      </c>
      <c r="D11" s="62">
        <f>B11/C11-1</f>
        <v>-0.79125307736629824</v>
      </c>
      <c r="E11" s="42"/>
      <c r="F11" s="77">
        <v>255052</v>
      </c>
      <c r="G11" s="77">
        <f t="shared" si="4"/>
        <v>1142830</v>
      </c>
      <c r="H11" s="78">
        <f>F11/G11-1</f>
        <v>-0.77682419957473992</v>
      </c>
      <c r="I11" s="42"/>
      <c r="J11" s="65">
        <v>0</v>
      </c>
      <c r="K11" s="65">
        <v>78994</v>
      </c>
      <c r="L11" s="66">
        <f>J11/K11-1</f>
        <v>-1</v>
      </c>
    </row>
    <row r="12" spans="1:20" x14ac:dyDescent="0.25">
      <c r="A12" s="38" t="s">
        <v>9</v>
      </c>
      <c r="B12" s="40">
        <v>341831</v>
      </c>
      <c r="C12" s="40">
        <v>1233165</v>
      </c>
      <c r="D12" s="62">
        <f>B12/C12-1</f>
        <v>-0.7228018959344451</v>
      </c>
      <c r="E12" s="42"/>
      <c r="F12" s="55">
        <f t="shared" ref="F12:F17" si="5">B12-J12</f>
        <v>333422</v>
      </c>
      <c r="G12" s="48">
        <f t="shared" si="4"/>
        <v>1150194</v>
      </c>
      <c r="H12" s="41">
        <f t="shared" si="2"/>
        <v>-0.71011672813455817</v>
      </c>
      <c r="I12" s="42"/>
      <c r="J12" s="80">
        <v>8409</v>
      </c>
      <c r="K12" s="80">
        <v>82971</v>
      </c>
      <c r="L12" s="41">
        <f t="shared" si="3"/>
        <v>-0.89865133600896696</v>
      </c>
    </row>
    <row r="13" spans="1:20" x14ac:dyDescent="0.25">
      <c r="A13" s="58" t="s">
        <v>10</v>
      </c>
      <c r="B13" s="61">
        <v>313296</v>
      </c>
      <c r="C13" s="61">
        <v>1189199</v>
      </c>
      <c r="D13" s="62">
        <f t="shared" si="0"/>
        <v>-0.73654871892761431</v>
      </c>
      <c r="E13" s="42"/>
      <c r="F13" s="77">
        <f t="shared" si="5"/>
        <v>305012</v>
      </c>
      <c r="G13" s="77">
        <f t="shared" si="4"/>
        <v>1114139</v>
      </c>
      <c r="H13" s="78">
        <f t="shared" si="2"/>
        <v>-0.7262352363574025</v>
      </c>
      <c r="I13" s="42"/>
      <c r="J13" s="65">
        <v>8284</v>
      </c>
      <c r="K13" s="65">
        <v>75060</v>
      </c>
      <c r="L13" s="66">
        <f t="shared" si="3"/>
        <v>-0.88963495869970688</v>
      </c>
    </row>
    <row r="14" spans="1:20" s="53" customFormat="1" x14ac:dyDescent="0.25">
      <c r="A14" s="46" t="s">
        <v>11</v>
      </c>
      <c r="B14" s="40">
        <v>320462</v>
      </c>
      <c r="C14" s="40">
        <v>1125752</v>
      </c>
      <c r="D14" s="41">
        <f t="shared" si="0"/>
        <v>-0.71533517151202042</v>
      </c>
      <c r="E14" s="42"/>
      <c r="F14" s="55">
        <f t="shared" si="5"/>
        <v>312315</v>
      </c>
      <c r="G14" s="48">
        <f t="shared" si="4"/>
        <v>1062476</v>
      </c>
      <c r="H14" s="41">
        <f t="shared" si="2"/>
        <v>-0.70604983077264805</v>
      </c>
      <c r="J14" s="80">
        <v>8147</v>
      </c>
      <c r="K14" s="81">
        <v>63276</v>
      </c>
      <c r="L14" s="41">
        <f t="shared" si="3"/>
        <v>-0.87124660218724315</v>
      </c>
      <c r="M14" s="33"/>
      <c r="N14" s="33"/>
      <c r="O14" s="33"/>
      <c r="P14" s="33"/>
      <c r="Q14" s="33"/>
      <c r="R14" s="33"/>
      <c r="S14" s="33"/>
      <c r="T14" s="33"/>
    </row>
    <row r="15" spans="1:20" s="42" customFormat="1" x14ac:dyDescent="0.25">
      <c r="A15" s="58" t="s">
        <v>12</v>
      </c>
      <c r="B15" s="61">
        <v>363952</v>
      </c>
      <c r="C15" s="61">
        <v>1124507</v>
      </c>
      <c r="D15" s="62">
        <f t="shared" si="0"/>
        <v>-0.67634527841978753</v>
      </c>
      <c r="F15" s="77">
        <f t="shared" si="5"/>
        <v>354367</v>
      </c>
      <c r="G15" s="77">
        <f>C15-K15</f>
        <v>1059853</v>
      </c>
      <c r="H15" s="78">
        <f t="shared" si="2"/>
        <v>-0.66564514135450858</v>
      </c>
      <c r="J15" s="65">
        <v>9585</v>
      </c>
      <c r="K15" s="65">
        <v>64654</v>
      </c>
      <c r="L15" s="66">
        <f t="shared" si="3"/>
        <v>-0.85174931172085255</v>
      </c>
      <c r="M15" s="33"/>
      <c r="N15" s="33"/>
      <c r="O15" s="33"/>
      <c r="P15" s="33"/>
      <c r="Q15" s="33"/>
      <c r="R15" s="33"/>
      <c r="S15" s="33"/>
      <c r="T15" s="33"/>
    </row>
    <row r="16" spans="1:20" s="53" customFormat="1" x14ac:dyDescent="0.25">
      <c r="A16" s="43" t="s">
        <v>13</v>
      </c>
      <c r="B16" s="40">
        <v>352430</v>
      </c>
      <c r="C16" s="44">
        <v>1066656</v>
      </c>
      <c r="D16" s="41">
        <f t="shared" si="0"/>
        <v>-0.66959357093570937</v>
      </c>
      <c r="E16" s="42"/>
      <c r="F16" s="55">
        <f t="shared" si="5"/>
        <v>340364</v>
      </c>
      <c r="G16" s="48">
        <f>C16-K16</f>
        <v>1028898</v>
      </c>
      <c r="H16" s="41">
        <f t="shared" si="2"/>
        <v>-0.66919558595701423</v>
      </c>
      <c r="I16" s="42"/>
      <c r="J16" s="80">
        <v>12066</v>
      </c>
      <c r="K16" s="80">
        <v>37758</v>
      </c>
      <c r="L16" s="41">
        <f t="shared" si="3"/>
        <v>-0.68043858255204193</v>
      </c>
      <c r="M16" s="33"/>
      <c r="N16" s="33"/>
      <c r="O16" s="33"/>
      <c r="P16" s="33"/>
      <c r="Q16" s="33"/>
      <c r="R16" s="33"/>
      <c r="S16" s="33"/>
      <c r="T16" s="33"/>
    </row>
    <row r="17" spans="1:12" x14ac:dyDescent="0.25">
      <c r="A17" s="58" t="s">
        <v>14</v>
      </c>
      <c r="B17" s="61">
        <v>320399</v>
      </c>
      <c r="C17" s="61">
        <v>1144702</v>
      </c>
      <c r="D17" s="62">
        <f t="shared" si="0"/>
        <v>-0.72010269921778769</v>
      </c>
      <c r="E17" s="42"/>
      <c r="F17" s="77">
        <f t="shared" si="5"/>
        <v>311328</v>
      </c>
      <c r="G17" s="77">
        <f>C17-K17</f>
        <v>1099859</v>
      </c>
      <c r="H17" s="78">
        <f t="shared" si="2"/>
        <v>-0.71693826208632205</v>
      </c>
      <c r="I17" s="42"/>
      <c r="J17" s="65">
        <v>9071</v>
      </c>
      <c r="K17" s="65">
        <v>44843</v>
      </c>
      <c r="L17" s="66">
        <f t="shared" si="3"/>
        <v>-0.79771647748812524</v>
      </c>
    </row>
    <row r="18" spans="1:12" x14ac:dyDescent="0.25">
      <c r="A18" s="38" t="s">
        <v>36</v>
      </c>
      <c r="B18" s="40">
        <f>SUM(B6:B17)</f>
        <v>4622026</v>
      </c>
      <c r="C18" s="40">
        <f>SUM(C6:C17)</f>
        <v>13378411</v>
      </c>
      <c r="D18" s="41">
        <f t="shared" si="0"/>
        <v>-0.65451607070525797</v>
      </c>
      <c r="E18" s="42"/>
      <c r="F18" s="40">
        <f>SUM(F6:F17)</f>
        <v>4483102</v>
      </c>
      <c r="G18" s="40">
        <f>SUM(G6:G17)</f>
        <v>12642466</v>
      </c>
      <c r="H18" s="41">
        <f t="shared" si="2"/>
        <v>-0.64539339081473501</v>
      </c>
      <c r="I18" s="42"/>
      <c r="J18" s="40">
        <f>SUM(J6:J17)</f>
        <v>138924</v>
      </c>
      <c r="K18" s="40">
        <f>SUM(K6:K17)</f>
        <v>735945</v>
      </c>
      <c r="L18" s="41">
        <f t="shared" si="3"/>
        <v>-0.81123045879787214</v>
      </c>
    </row>
    <row r="19" spans="1:12" x14ac:dyDescent="0.25">
      <c r="A19" s="37"/>
      <c r="B19" s="37"/>
      <c r="E19" s="42"/>
      <c r="L19" s="57" t="s">
        <v>49</v>
      </c>
    </row>
    <row r="20" spans="1:12" x14ac:dyDescent="0.25">
      <c r="A20" s="45" t="s">
        <v>41</v>
      </c>
      <c r="B20" s="37"/>
      <c r="G20" s="39"/>
      <c r="J20" s="39"/>
      <c r="K20" s="39"/>
      <c r="L20" s="57"/>
    </row>
    <row r="21" spans="1:12" x14ac:dyDescent="0.25">
      <c r="A21" s="2" t="s">
        <v>50</v>
      </c>
      <c r="J21" s="39"/>
      <c r="K21" s="57"/>
    </row>
    <row r="23" spans="1:12" x14ac:dyDescent="0.25">
      <c r="B23" s="29"/>
      <c r="C23" s="29"/>
      <c r="D23" s="29"/>
    </row>
  </sheetData>
  <mergeCells count="4">
    <mergeCell ref="B3:D3"/>
    <mergeCell ref="F3:H3"/>
    <mergeCell ref="J3:L3"/>
    <mergeCell ref="A1:L1"/>
  </mergeCells>
  <phoneticPr fontId="17" type="noConversion"/>
  <pageMargins left="0.7" right="0.7" top="0.75" bottom="0.75" header="0.3" footer="0.3"/>
  <pageSetup scale="5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E6AF00"/>
    <pageSetUpPr fitToPage="1"/>
  </sheetPr>
  <dimension ref="A1:P23"/>
  <sheetViews>
    <sheetView zoomScaleNormal="100" zoomScaleSheetLayoutView="90" workbookViewId="0">
      <selection activeCell="B19" sqref="B19"/>
    </sheetView>
  </sheetViews>
  <sheetFormatPr baseColWidth="10" defaultColWidth="9.1640625" defaultRowHeight="19" x14ac:dyDescent="0.25"/>
  <cols>
    <col min="1" max="5" width="13.83203125" style="33" customWidth="1"/>
    <col min="6" max="6" width="15.5" style="33" bestFit="1" customWidth="1"/>
    <col min="7" max="12" width="13.83203125" style="33" customWidth="1"/>
    <col min="13" max="13" width="9.1640625" style="33"/>
    <col min="14" max="14" width="9.33203125" style="33" customWidth="1"/>
    <col min="15" max="15" width="9.1640625" style="33"/>
    <col min="16" max="16" width="10" style="33" bestFit="1" customWidth="1"/>
    <col min="17" max="16384" width="9.1640625" style="33"/>
  </cols>
  <sheetData>
    <row r="1" spans="1:16" ht="34" customHeight="1" x14ac:dyDescent="0.25">
      <c r="A1" s="94" t="s">
        <v>20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6" x14ac:dyDescent="0.25">
      <c r="A2"/>
      <c r="B2"/>
      <c r="C2"/>
      <c r="D2"/>
      <c r="E2"/>
      <c r="F2"/>
      <c r="G2"/>
      <c r="H2"/>
      <c r="I2"/>
      <c r="J2"/>
      <c r="K2"/>
      <c r="L2"/>
    </row>
    <row r="3" spans="1:16" x14ac:dyDescent="0.25">
      <c r="A3" s="34"/>
      <c r="B3" s="95" t="s">
        <v>48</v>
      </c>
      <c r="C3" s="95"/>
      <c r="D3" s="95"/>
      <c r="E3" s="68"/>
      <c r="F3" s="96" t="s">
        <v>15</v>
      </c>
      <c r="G3" s="96"/>
      <c r="H3" s="96"/>
      <c r="I3" s="67"/>
      <c r="J3" s="97" t="s">
        <v>16</v>
      </c>
      <c r="K3" s="97"/>
      <c r="L3" s="97"/>
    </row>
    <row r="4" spans="1:16" customFormat="1" x14ac:dyDescent="0.25">
      <c r="A4" s="35"/>
      <c r="B4" s="36">
        <v>2020</v>
      </c>
      <c r="C4" s="36">
        <v>2019</v>
      </c>
      <c r="D4" s="36" t="s">
        <v>28</v>
      </c>
      <c r="E4" s="37"/>
      <c r="F4" s="36">
        <v>2020</v>
      </c>
      <c r="G4" s="36">
        <v>2019</v>
      </c>
      <c r="H4" s="36" t="s">
        <v>28</v>
      </c>
      <c r="I4" s="37"/>
      <c r="J4" s="36">
        <v>2020</v>
      </c>
      <c r="K4" s="36">
        <v>2019</v>
      </c>
      <c r="L4" s="36" t="s">
        <v>28</v>
      </c>
    </row>
    <row r="5" spans="1:16" x14ac:dyDescent="0.25">
      <c r="A5" s="58"/>
      <c r="B5" s="59"/>
      <c r="C5" s="60"/>
      <c r="D5" s="59"/>
      <c r="E5" s="37"/>
      <c r="F5" s="75"/>
      <c r="G5" s="76"/>
      <c r="H5" s="75"/>
      <c r="I5" s="37"/>
      <c r="J5" s="63"/>
      <c r="K5" s="64"/>
      <c r="L5" s="63"/>
    </row>
    <row r="6" spans="1:16" x14ac:dyDescent="0.25">
      <c r="A6" s="38" t="s">
        <v>3</v>
      </c>
      <c r="B6" s="40">
        <f>SUM(F6,J6)</f>
        <v>990342</v>
      </c>
      <c r="C6" s="40">
        <f>SUM(G6,K6)</f>
        <v>872332</v>
      </c>
      <c r="D6" s="41">
        <f t="shared" ref="D6:D17" si="0">B6/C6-1</f>
        <v>0.13528106271465457</v>
      </c>
      <c r="E6" s="42"/>
      <c r="F6" s="49">
        <f>430887+48578+430582+48237</f>
        <v>958284</v>
      </c>
      <c r="G6" s="49">
        <f>398954+F41097+128+403913+40137+128</f>
        <v>843260</v>
      </c>
      <c r="H6" s="41">
        <f t="shared" ref="H6:H9" si="1">F6/G6-1</f>
        <v>0.13640395607523192</v>
      </c>
      <c r="I6" s="37"/>
      <c r="J6" s="49">
        <f>16472+15586</f>
        <v>32058</v>
      </c>
      <c r="K6" s="49">
        <f>15477+13595</f>
        <v>29072</v>
      </c>
      <c r="L6" s="41">
        <f t="shared" ref="L6:L16" si="2">J6/K6-1</f>
        <v>0.1027105118326912</v>
      </c>
    </row>
    <row r="7" spans="1:16" x14ac:dyDescent="0.25">
      <c r="A7" s="58" t="s">
        <v>4</v>
      </c>
      <c r="B7" s="61">
        <f>SUM(F7,J7)</f>
        <v>934469</v>
      </c>
      <c r="C7" s="61">
        <f>SUM(G7,K7)</f>
        <v>860854</v>
      </c>
      <c r="D7" s="62">
        <f t="shared" si="0"/>
        <v>8.5513919898147606E-2</v>
      </c>
      <c r="E7" s="42"/>
      <c r="F7" s="77">
        <f>407767+47553+407814+47780</f>
        <v>910914</v>
      </c>
      <c r="G7" s="77">
        <f>378478+40549+109+377760+38688+42</f>
        <v>835626</v>
      </c>
      <c r="H7" s="78">
        <f t="shared" si="1"/>
        <v>9.0097723144086039E-2</v>
      </c>
      <c r="I7" s="42"/>
      <c r="J7" s="65">
        <f>11199+12356</f>
        <v>23555</v>
      </c>
      <c r="K7" s="65">
        <f>11549+13679</f>
        <v>25228</v>
      </c>
      <c r="L7" s="66">
        <f t="shared" si="2"/>
        <v>-6.6315205327413973E-2</v>
      </c>
      <c r="N7" s="39"/>
      <c r="O7" s="39"/>
    </row>
    <row r="8" spans="1:16" x14ac:dyDescent="0.25">
      <c r="A8" s="43" t="s">
        <v>5</v>
      </c>
      <c r="B8" s="40">
        <f t="shared" ref="B8:C17" si="3">SUM(F8,J8)</f>
        <v>527890</v>
      </c>
      <c r="C8" s="40">
        <f t="shared" si="3"/>
        <v>1047798</v>
      </c>
      <c r="D8" s="41">
        <f t="shared" si="0"/>
        <v>-0.49619105972716115</v>
      </c>
      <c r="E8" s="42"/>
      <c r="F8" s="40">
        <f>218889+27508+237024+29360</f>
        <v>512781</v>
      </c>
      <c r="G8" s="40">
        <f>459180+51711+44+459536+50494+110</f>
        <v>1021075</v>
      </c>
      <c r="H8" s="41">
        <f t="shared" si="1"/>
        <v>-0.49780280586636638</v>
      </c>
      <c r="I8" s="42"/>
      <c r="J8" s="48">
        <f>6588+8521</f>
        <v>15109</v>
      </c>
      <c r="K8" s="48">
        <f>12430+14293</f>
        <v>26723</v>
      </c>
      <c r="L8" s="41">
        <f t="shared" si="2"/>
        <v>-0.43460689293866706</v>
      </c>
      <c r="N8" s="39"/>
      <c r="O8" s="39"/>
    </row>
    <row r="9" spans="1:16" x14ac:dyDescent="0.25">
      <c r="A9" s="58" t="s">
        <v>6</v>
      </c>
      <c r="B9" s="61">
        <f>F9+J9</f>
        <v>69312</v>
      </c>
      <c r="C9" s="61">
        <f t="shared" si="3"/>
        <v>1079861</v>
      </c>
      <c r="D9" s="62">
        <f t="shared" si="0"/>
        <v>-0.93581396124130789</v>
      </c>
      <c r="E9" s="42"/>
      <c r="F9" s="77">
        <f>29691+3426+30612+3546</f>
        <v>67275</v>
      </c>
      <c r="G9" s="77">
        <f>477772+49385+103+477511+47482+103</f>
        <v>1052356</v>
      </c>
      <c r="H9" s="78">
        <f t="shared" si="1"/>
        <v>-0.93607201365317438</v>
      </c>
      <c r="I9" s="42"/>
      <c r="J9" s="65">
        <f>1169+868</f>
        <v>2037</v>
      </c>
      <c r="K9" s="65">
        <f>13001+14504</f>
        <v>27505</v>
      </c>
      <c r="L9" s="66">
        <f t="shared" si="2"/>
        <v>-0.92594073804762766</v>
      </c>
      <c r="N9" s="39"/>
    </row>
    <row r="10" spans="1:16" x14ac:dyDescent="0.25">
      <c r="A10" s="38" t="s">
        <v>7</v>
      </c>
      <c r="B10" s="40">
        <f>73953+73594</f>
        <v>147547</v>
      </c>
      <c r="C10" s="40">
        <f>SUM(G10,K10)</f>
        <v>1152815</v>
      </c>
      <c r="D10" s="41">
        <f t="shared" si="0"/>
        <v>-0.87201155432571575</v>
      </c>
      <c r="E10" s="42"/>
      <c r="F10" s="40">
        <f>66659+7294+66722+6872</f>
        <v>147547</v>
      </c>
      <c r="G10" s="40">
        <f>504648+510617+55824+54116+68+63</f>
        <v>1125336</v>
      </c>
      <c r="H10" s="41">
        <f>F10/G10-1</f>
        <v>-0.86888627041168154</v>
      </c>
      <c r="I10" s="42"/>
      <c r="J10" s="48">
        <v>0</v>
      </c>
      <c r="K10" s="48">
        <f>13314+14165</f>
        <v>27479</v>
      </c>
      <c r="L10" s="41">
        <f t="shared" si="2"/>
        <v>-1</v>
      </c>
    </row>
    <row r="11" spans="1:16" x14ac:dyDescent="0.25">
      <c r="A11" s="58" t="s">
        <v>8</v>
      </c>
      <c r="B11" s="61">
        <f>F11+J11</f>
        <v>299175</v>
      </c>
      <c r="C11" s="61">
        <f t="shared" si="3"/>
        <v>1178297</v>
      </c>
      <c r="D11" s="62">
        <f t="shared" si="0"/>
        <v>-0.74609542415876473</v>
      </c>
      <c r="E11" s="42"/>
      <c r="F11" s="77">
        <f>138026+9228+136465+8777</f>
        <v>292496</v>
      </c>
      <c r="G11" s="77">
        <f>525845+52831+46+516975+48+50786</f>
        <v>1146531</v>
      </c>
      <c r="H11" s="78">
        <f t="shared" ref="H11:H17" si="4">F11/G11-1</f>
        <v>-0.7448860955351404</v>
      </c>
      <c r="I11" s="42"/>
      <c r="J11" s="65">
        <f>3531+3148</f>
        <v>6679</v>
      </c>
      <c r="K11" s="65">
        <f>17023+14743</f>
        <v>31766</v>
      </c>
      <c r="L11" s="66">
        <f t="shared" si="2"/>
        <v>-0.78974375118050744</v>
      </c>
      <c r="P11" s="47"/>
    </row>
    <row r="12" spans="1:16" x14ac:dyDescent="0.25">
      <c r="A12" s="38" t="s">
        <v>9</v>
      </c>
      <c r="B12" s="40">
        <f>F12+J12</f>
        <v>406768</v>
      </c>
      <c r="C12" s="40">
        <f>SUM(G12,K12)</f>
        <v>1230606</v>
      </c>
      <c r="D12" s="41">
        <f t="shared" si="0"/>
        <v>-0.66945716175607783</v>
      </c>
      <c r="E12" s="42"/>
      <c r="F12" s="48">
        <f>187165+9208+186915+9298</f>
        <v>392586</v>
      </c>
      <c r="G12" s="48">
        <f>544016+52374+68+546220+53453+68</f>
        <v>1196199</v>
      </c>
      <c r="H12" s="41">
        <f t="shared" si="4"/>
        <v>-0.67180544374305606</v>
      </c>
      <c r="I12" s="42"/>
      <c r="J12" s="48">
        <f>6878+7304</f>
        <v>14182</v>
      </c>
      <c r="K12" s="48">
        <f>16893+17514</f>
        <v>34407</v>
      </c>
      <c r="L12" s="41">
        <f>J12/K12-1</f>
        <v>-0.58781643270264772</v>
      </c>
    </row>
    <row r="13" spans="1:16" x14ac:dyDescent="0.25">
      <c r="A13" s="58" t="s">
        <v>10</v>
      </c>
      <c r="B13" s="61">
        <f>F13+J13</f>
        <v>423340</v>
      </c>
      <c r="C13" s="61">
        <v>1186403</v>
      </c>
      <c r="D13" s="62">
        <f t="shared" si="0"/>
        <v>-0.64317352535352657</v>
      </c>
      <c r="E13" s="42"/>
      <c r="F13" s="77">
        <f>192354+11685+26+192411+12307+57</f>
        <v>408840</v>
      </c>
      <c r="G13" s="77">
        <f>C13-K13</f>
        <v>1157574</v>
      </c>
      <c r="H13" s="78">
        <f t="shared" si="4"/>
        <v>-0.64681307631304774</v>
      </c>
      <c r="I13" s="42"/>
      <c r="J13" s="65">
        <f>6274+8226</f>
        <v>14500</v>
      </c>
      <c r="K13" s="65">
        <f>13168+15661</f>
        <v>28829</v>
      </c>
      <c r="L13" s="66">
        <f t="shared" si="2"/>
        <v>-0.49703423635922162</v>
      </c>
    </row>
    <row r="14" spans="1:16" x14ac:dyDescent="0.25">
      <c r="A14" s="46" t="s">
        <v>11</v>
      </c>
      <c r="B14" s="40">
        <v>416608</v>
      </c>
      <c r="C14" s="40">
        <f t="shared" si="3"/>
        <v>1109543</v>
      </c>
      <c r="D14" s="41">
        <f t="shared" si="0"/>
        <v>-0.62452288915346221</v>
      </c>
      <c r="E14" s="42"/>
      <c r="F14" s="55">
        <f>B14-J14</f>
        <v>402294</v>
      </c>
      <c r="G14" s="55">
        <f>493945+50158+491268+50936+54+54</f>
        <v>1086415</v>
      </c>
      <c r="H14" s="41">
        <f t="shared" si="4"/>
        <v>-0.62970503905045494</v>
      </c>
      <c r="I14" s="53"/>
      <c r="J14" s="55">
        <f>7078+7236</f>
        <v>14314</v>
      </c>
      <c r="K14" s="55">
        <f>11839+11289</f>
        <v>23128</v>
      </c>
      <c r="L14" s="41">
        <f t="shared" si="2"/>
        <v>-0.38109650639916981</v>
      </c>
    </row>
    <row r="15" spans="1:16" s="42" customFormat="1" x14ac:dyDescent="0.25">
      <c r="A15" s="58" t="s">
        <v>12</v>
      </c>
      <c r="B15" s="61">
        <v>476349</v>
      </c>
      <c r="C15" s="61">
        <f t="shared" si="3"/>
        <v>1156907</v>
      </c>
      <c r="D15" s="62">
        <f t="shared" si="0"/>
        <v>-0.58825644585087655</v>
      </c>
      <c r="F15" s="77">
        <f>B15-J15</f>
        <v>460798</v>
      </c>
      <c r="G15" s="77">
        <f>515521+514860+50456+51+50+51102</f>
        <v>1132040</v>
      </c>
      <c r="H15" s="78">
        <f t="shared" si="4"/>
        <v>-0.59294901240238862</v>
      </c>
      <c r="J15" s="65">
        <f>7996+7555</f>
        <v>15551</v>
      </c>
      <c r="K15" s="65">
        <f>13131+11736</f>
        <v>24867</v>
      </c>
      <c r="L15" s="66">
        <f>J15/K15-1</f>
        <v>-0.37463304781437246</v>
      </c>
    </row>
    <row r="16" spans="1:16" x14ac:dyDescent="0.25">
      <c r="A16" s="43" t="s">
        <v>13</v>
      </c>
      <c r="B16" s="40">
        <f>F16+J16</f>
        <v>464430</v>
      </c>
      <c r="C16" s="44">
        <f t="shared" si="3"/>
        <v>1090360</v>
      </c>
      <c r="D16" s="41">
        <f t="shared" si="0"/>
        <v>-0.57405810924832168</v>
      </c>
      <c r="E16" s="42"/>
      <c r="F16" s="48">
        <f>205976+15487+210115+14614</f>
        <v>446192</v>
      </c>
      <c r="G16" s="48">
        <f>483544+48355+63+482386+47875+63</f>
        <v>1062286</v>
      </c>
      <c r="H16" s="41">
        <f t="shared" si="4"/>
        <v>-0.57996998924959953</v>
      </c>
      <c r="I16" s="42"/>
      <c r="J16" s="48">
        <f>8163+10075</f>
        <v>18238</v>
      </c>
      <c r="K16" s="48">
        <f>15463+12611</f>
        <v>28074</v>
      </c>
      <c r="L16" s="41">
        <f t="shared" si="2"/>
        <v>-0.35035976348222553</v>
      </c>
    </row>
    <row r="17" spans="1:12" x14ac:dyDescent="0.25">
      <c r="A17" s="58" t="s">
        <v>14</v>
      </c>
      <c r="B17" s="61">
        <f>SUM(F17,J17)</f>
        <v>426138</v>
      </c>
      <c r="C17" s="61">
        <f t="shared" si="3"/>
        <v>1162890</v>
      </c>
      <c r="D17" s="62">
        <f t="shared" si="0"/>
        <v>-0.63355261460671253</v>
      </c>
      <c r="E17" s="42"/>
      <c r="F17" s="77">
        <f>189631+13943+39+186539+13263+38</f>
        <v>403453</v>
      </c>
      <c r="G17" s="77">
        <f>514799+50362+84+516083+47943+52</f>
        <v>1129323</v>
      </c>
      <c r="H17" s="78">
        <f t="shared" si="4"/>
        <v>-0.64274791180202651</v>
      </c>
      <c r="I17" s="42"/>
      <c r="J17" s="65">
        <f>8262+14423</f>
        <v>22685</v>
      </c>
      <c r="K17" s="65">
        <f>18762+14805</f>
        <v>33567</v>
      </c>
      <c r="L17" s="66">
        <f>J17/K17-1</f>
        <v>-0.32418744600351534</v>
      </c>
    </row>
    <row r="18" spans="1:12" x14ac:dyDescent="0.25">
      <c r="A18" s="38" t="s">
        <v>29</v>
      </c>
      <c r="B18" s="40">
        <f>SUM(B6:B17)</f>
        <v>5582368</v>
      </c>
      <c r="C18" s="40">
        <f>SUM(C6:C17)</f>
        <v>13128666</v>
      </c>
      <c r="D18" s="41">
        <f>B18/C18-1</f>
        <v>-0.57479548950365555</v>
      </c>
      <c r="E18" s="42"/>
      <c r="F18" s="40">
        <f>SUM(F6:F17)</f>
        <v>5403460</v>
      </c>
      <c r="G18" s="40">
        <f>SUM(G6:G17)</f>
        <v>12788021</v>
      </c>
      <c r="H18" s="41">
        <f>F18/G18-1</f>
        <v>-0.57745924877664812</v>
      </c>
      <c r="I18" s="42"/>
      <c r="J18" s="40">
        <f>SUM(J6:J17)</f>
        <v>178908</v>
      </c>
      <c r="K18" s="40">
        <f>SUM(K6:K17)</f>
        <v>340645</v>
      </c>
      <c r="L18" s="41">
        <f>J18/K18-1</f>
        <v>-0.47479634223311662</v>
      </c>
    </row>
    <row r="19" spans="1:12" x14ac:dyDescent="0.25">
      <c r="A19" s="37"/>
      <c r="B19" s="37"/>
      <c r="C19" s="33" t="s">
        <v>49</v>
      </c>
      <c r="E19" s="42"/>
    </row>
    <row r="20" spans="1:12" x14ac:dyDescent="0.25">
      <c r="A20" s="45" t="s">
        <v>44</v>
      </c>
      <c r="B20" s="37"/>
      <c r="G20" s="39"/>
      <c r="J20" s="39"/>
      <c r="K20" s="39"/>
    </row>
    <row r="21" spans="1:12" x14ac:dyDescent="0.25">
      <c r="A21" s="2" t="s">
        <v>50</v>
      </c>
      <c r="J21" s="39"/>
      <c r="K21" s="57"/>
    </row>
    <row r="23" spans="1:12" x14ac:dyDescent="0.25">
      <c r="B23" s="29"/>
      <c r="C23" s="29"/>
      <c r="D23" s="29"/>
    </row>
  </sheetData>
  <mergeCells count="4">
    <mergeCell ref="B3:D3"/>
    <mergeCell ref="F3:H3"/>
    <mergeCell ref="J3:L3"/>
    <mergeCell ref="A1:L1"/>
  </mergeCells>
  <phoneticPr fontId="17" type="noConversion"/>
  <pageMargins left="0.7" right="0.7" top="0.75" bottom="0.75" header="0.3" footer="0.3"/>
  <pageSetup scale="5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  <pageSetUpPr fitToPage="1"/>
  </sheetPr>
  <dimension ref="A1:L24"/>
  <sheetViews>
    <sheetView zoomScaleNormal="100" zoomScaleSheetLayoutView="100" workbookViewId="0">
      <selection activeCell="C19" sqref="C19"/>
    </sheetView>
  </sheetViews>
  <sheetFormatPr baseColWidth="10" defaultColWidth="9.1640625" defaultRowHeight="19" x14ac:dyDescent="0.25"/>
  <cols>
    <col min="1" max="12" width="13.83203125" style="33" customWidth="1"/>
    <col min="13" max="16384" width="9.1640625" style="33"/>
  </cols>
  <sheetData>
    <row r="1" spans="1:12" ht="30" customHeight="1" x14ac:dyDescent="0.25">
      <c r="A1" s="94" t="s">
        <v>21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x14ac:dyDescent="0.25">
      <c r="A2"/>
      <c r="B2"/>
      <c r="C2"/>
      <c r="D2"/>
      <c r="E2"/>
      <c r="F2"/>
      <c r="G2"/>
      <c r="H2"/>
      <c r="I2"/>
      <c r="J2"/>
      <c r="K2"/>
      <c r="L2"/>
    </row>
    <row r="3" spans="1:12" x14ac:dyDescent="0.25">
      <c r="A3" s="34"/>
      <c r="B3" s="95" t="s">
        <v>48</v>
      </c>
      <c r="C3" s="95"/>
      <c r="D3" s="95"/>
      <c r="E3" s="68"/>
      <c r="F3" s="96" t="s">
        <v>15</v>
      </c>
      <c r="G3" s="96"/>
      <c r="H3" s="96"/>
      <c r="I3" s="67"/>
      <c r="J3" s="97" t="s">
        <v>16</v>
      </c>
      <c r="K3" s="97"/>
      <c r="L3" s="97"/>
    </row>
    <row r="4" spans="1:12" customFormat="1" x14ac:dyDescent="0.25">
      <c r="A4" s="35"/>
      <c r="B4" s="36">
        <v>2020</v>
      </c>
      <c r="C4" s="36">
        <v>2019</v>
      </c>
      <c r="D4" s="36" t="s">
        <v>28</v>
      </c>
      <c r="E4" s="37"/>
      <c r="F4" s="36">
        <v>2020</v>
      </c>
      <c r="G4" s="36">
        <v>2019</v>
      </c>
      <c r="H4" s="36" t="s">
        <v>28</v>
      </c>
      <c r="I4" s="37"/>
      <c r="J4" s="36">
        <v>2020</v>
      </c>
      <c r="K4" s="36">
        <v>2019</v>
      </c>
      <c r="L4" s="36" t="s">
        <v>28</v>
      </c>
    </row>
    <row r="5" spans="1:12" x14ac:dyDescent="0.25">
      <c r="A5" s="58"/>
      <c r="B5" s="59"/>
      <c r="C5" s="60"/>
      <c r="D5" s="59"/>
      <c r="E5" s="37"/>
      <c r="F5" s="75"/>
      <c r="G5" s="76"/>
      <c r="H5" s="75"/>
      <c r="I5" s="37"/>
      <c r="J5" s="63"/>
      <c r="K5" s="64"/>
      <c r="L5" s="63"/>
    </row>
    <row r="6" spans="1:12" x14ac:dyDescent="0.25">
      <c r="A6" s="38" t="s">
        <v>3</v>
      </c>
      <c r="B6" s="40">
        <f>SUM(F6,J6)</f>
        <v>1906444</v>
      </c>
      <c r="C6" s="40">
        <f>SUM(G6,K6)</f>
        <v>1798735</v>
      </c>
      <c r="D6" s="41">
        <f t="shared" ref="D6:D17" si="0">B6/C6-1</f>
        <v>5.9880415958993405E-2</v>
      </c>
      <c r="E6" s="42"/>
      <c r="F6" s="49">
        <v>1823722</v>
      </c>
      <c r="G6" s="49">
        <v>1717815</v>
      </c>
      <c r="H6" s="41">
        <f t="shared" ref="H6:H17" si="1">F6/G6-1</f>
        <v>6.1652156955201765E-2</v>
      </c>
      <c r="I6" s="37"/>
      <c r="J6" s="49">
        <v>82722</v>
      </c>
      <c r="K6" s="49">
        <v>80920</v>
      </c>
      <c r="L6" s="41">
        <f>J6/K6-1</f>
        <v>2.2268907563025131E-2</v>
      </c>
    </row>
    <row r="7" spans="1:12" x14ac:dyDescent="0.25">
      <c r="A7" s="58" t="s">
        <v>4</v>
      </c>
      <c r="B7" s="61">
        <f>SUM(F7,J7)</f>
        <v>1805960</v>
      </c>
      <c r="C7" s="61">
        <f>SUM(G7,K7)</f>
        <v>1695472</v>
      </c>
      <c r="D7" s="62">
        <f t="shared" si="0"/>
        <v>6.5166514103447204E-2</v>
      </c>
      <c r="E7" s="42"/>
      <c r="F7" s="77">
        <v>1729443</v>
      </c>
      <c r="G7" s="77">
        <v>1623756</v>
      </c>
      <c r="H7" s="78">
        <f t="shared" si="1"/>
        <v>6.5087981199145606E-2</v>
      </c>
      <c r="I7" s="42"/>
      <c r="J7" s="65">
        <v>76517</v>
      </c>
      <c r="K7" s="65">
        <v>71716</v>
      </c>
      <c r="L7" s="66">
        <f t="shared" ref="L7:L17" si="2">J7/K7-1</f>
        <v>6.6944614869764107E-2</v>
      </c>
    </row>
    <row r="8" spans="1:12" x14ac:dyDescent="0.25">
      <c r="A8" s="43" t="s">
        <v>5</v>
      </c>
      <c r="B8" s="40">
        <f>F8+J8</f>
        <v>944758</v>
      </c>
      <c r="C8" s="40">
        <f>SUM(G8,K8)</f>
        <v>2100970</v>
      </c>
      <c r="D8" s="41">
        <f t="shared" si="0"/>
        <v>-0.55032294606776877</v>
      </c>
      <c r="E8" s="42"/>
      <c r="F8" s="40">
        <v>905028</v>
      </c>
      <c r="G8" s="40">
        <v>2010711</v>
      </c>
      <c r="H8" s="41">
        <f t="shared" si="1"/>
        <v>-0.54989652913820031</v>
      </c>
      <c r="I8" s="42"/>
      <c r="J8" s="48">
        <v>39730</v>
      </c>
      <c r="K8" s="48">
        <v>90259</v>
      </c>
      <c r="L8" s="41">
        <f t="shared" si="2"/>
        <v>-0.55982228918999766</v>
      </c>
    </row>
    <row r="9" spans="1:12" x14ac:dyDescent="0.25">
      <c r="A9" s="58" t="s">
        <v>6</v>
      </c>
      <c r="B9" s="61">
        <f>F9+J9</f>
        <v>74682</v>
      </c>
      <c r="C9" s="61">
        <f>SUM(G9,K9)</f>
        <v>2089139</v>
      </c>
      <c r="D9" s="62">
        <f t="shared" si="0"/>
        <v>-0.96425225894495292</v>
      </c>
      <c r="E9" s="42"/>
      <c r="F9" s="77">
        <v>74246</v>
      </c>
      <c r="G9" s="77">
        <v>2002334</v>
      </c>
      <c r="H9" s="78">
        <f t="shared" si="1"/>
        <v>-0.96292027204252639</v>
      </c>
      <c r="I9" s="42"/>
      <c r="J9" s="65">
        <v>436</v>
      </c>
      <c r="K9" s="65">
        <v>86805</v>
      </c>
      <c r="L9" s="66">
        <f t="shared" si="2"/>
        <v>-0.99497724785438624</v>
      </c>
    </row>
    <row r="10" spans="1:12" x14ac:dyDescent="0.25">
      <c r="A10" s="38" t="s">
        <v>7</v>
      </c>
      <c r="B10" s="40">
        <f>F10+J10</f>
        <v>192432</v>
      </c>
      <c r="C10" s="40">
        <f t="shared" ref="B10:C17" si="3">SUM(G10,K10)</f>
        <v>2139175</v>
      </c>
      <c r="D10" s="41">
        <f t="shared" si="0"/>
        <v>-0.91004382530648498</v>
      </c>
      <c r="E10" s="42"/>
      <c r="F10" s="40">
        <v>192432</v>
      </c>
      <c r="G10" s="40">
        <v>2055420</v>
      </c>
      <c r="H10" s="41">
        <f t="shared" si="1"/>
        <v>-0.90637825845812536</v>
      </c>
      <c r="I10" s="42"/>
      <c r="J10" s="48">
        <v>0</v>
      </c>
      <c r="K10" s="48">
        <v>83755</v>
      </c>
      <c r="L10" s="41">
        <f t="shared" si="2"/>
        <v>-1</v>
      </c>
    </row>
    <row r="11" spans="1:12" x14ac:dyDescent="0.25">
      <c r="A11" s="58" t="s">
        <v>8</v>
      </c>
      <c r="B11" s="61">
        <f>F11+J11</f>
        <v>419546</v>
      </c>
      <c r="C11" s="61">
        <f t="shared" si="3"/>
        <v>2286679</v>
      </c>
      <c r="D11" s="62">
        <f t="shared" si="0"/>
        <v>-0.81652606246875925</v>
      </c>
      <c r="E11" s="42"/>
      <c r="F11" s="77">
        <v>416489</v>
      </c>
      <c r="G11" s="77">
        <v>2192842</v>
      </c>
      <c r="H11" s="78">
        <f t="shared" si="1"/>
        <v>-0.81006885128978734</v>
      </c>
      <c r="I11" s="42"/>
      <c r="J11" s="65">
        <v>3057</v>
      </c>
      <c r="K11" s="65">
        <v>93837</v>
      </c>
      <c r="L11" s="66">
        <f t="shared" si="2"/>
        <v>-0.96742223216854761</v>
      </c>
    </row>
    <row r="12" spans="1:12" x14ac:dyDescent="0.25">
      <c r="A12" s="38" t="s">
        <v>9</v>
      </c>
      <c r="B12" s="40">
        <v>610727</v>
      </c>
      <c r="C12" s="40">
        <f>SUM(G12,K12)</f>
        <v>2425302</v>
      </c>
      <c r="D12" s="41">
        <f t="shared" si="0"/>
        <v>-0.74818517446487076</v>
      </c>
      <c r="E12" s="42"/>
      <c r="F12" s="40">
        <v>604241</v>
      </c>
      <c r="G12" s="40">
        <v>2317427</v>
      </c>
      <c r="H12" s="41">
        <f t="shared" si="1"/>
        <v>-0.7392621213095385</v>
      </c>
      <c r="I12" s="42"/>
      <c r="J12" s="48">
        <v>6486</v>
      </c>
      <c r="K12" s="48">
        <v>107875</v>
      </c>
      <c r="L12" s="41">
        <f t="shared" si="2"/>
        <v>-0.9398748551564311</v>
      </c>
    </row>
    <row r="13" spans="1:12" x14ac:dyDescent="0.25">
      <c r="A13" s="58" t="s">
        <v>10</v>
      </c>
      <c r="B13" s="61">
        <v>666601</v>
      </c>
      <c r="C13" s="61">
        <f t="shared" si="3"/>
        <v>2342812</v>
      </c>
      <c r="D13" s="62">
        <f t="shared" si="0"/>
        <v>-0.71546970051374159</v>
      </c>
      <c r="E13" s="42"/>
      <c r="F13" s="77">
        <v>659718</v>
      </c>
      <c r="G13" s="77">
        <v>2243585</v>
      </c>
      <c r="H13" s="78">
        <f t="shared" si="1"/>
        <v>-0.70595364115912695</v>
      </c>
      <c r="I13" s="42"/>
      <c r="J13" s="65">
        <v>6883</v>
      </c>
      <c r="K13" s="65">
        <v>99227</v>
      </c>
      <c r="L13" s="66">
        <f t="shared" si="2"/>
        <v>-0.93063379926834433</v>
      </c>
    </row>
    <row r="14" spans="1:12" x14ac:dyDescent="0.25">
      <c r="A14" s="46" t="s">
        <v>11</v>
      </c>
      <c r="B14" s="40">
        <v>626200</v>
      </c>
      <c r="C14" s="40">
        <f>SUM(G14,K14)</f>
        <v>2056183</v>
      </c>
      <c r="D14" s="41">
        <f t="shared" si="0"/>
        <v>-0.69545512242830521</v>
      </c>
      <c r="E14" s="42"/>
      <c r="F14" s="40">
        <v>621036</v>
      </c>
      <c r="G14" s="55">
        <v>1974690</v>
      </c>
      <c r="H14" s="41">
        <f t="shared" si="1"/>
        <v>-0.68550202816644634</v>
      </c>
      <c r="I14" s="53"/>
      <c r="J14" s="40">
        <v>5164</v>
      </c>
      <c r="K14" s="55">
        <v>81493</v>
      </c>
      <c r="L14" s="41">
        <f t="shared" si="2"/>
        <v>-0.93663259421054568</v>
      </c>
    </row>
    <row r="15" spans="1:12" x14ac:dyDescent="0.25">
      <c r="A15" s="58" t="s">
        <v>12</v>
      </c>
      <c r="B15" s="61">
        <v>700168</v>
      </c>
      <c r="C15" s="61">
        <f>SUM(G15,K15)</f>
        <v>2146628</v>
      </c>
      <c r="D15" s="62">
        <f t="shared" si="0"/>
        <v>-0.67382890747721547</v>
      </c>
      <c r="E15" s="42"/>
      <c r="F15" s="77">
        <v>692553</v>
      </c>
      <c r="G15" s="77">
        <v>2059535</v>
      </c>
      <c r="H15" s="78">
        <f t="shared" si="1"/>
        <v>-0.66373331844324079</v>
      </c>
      <c r="I15" s="42"/>
      <c r="J15" s="65">
        <v>7615</v>
      </c>
      <c r="K15" s="65">
        <v>87093</v>
      </c>
      <c r="L15" s="66">
        <f t="shared" si="2"/>
        <v>-0.91256472965680369</v>
      </c>
    </row>
    <row r="16" spans="1:12" x14ac:dyDescent="0.25">
      <c r="A16" s="43" t="s">
        <v>13</v>
      </c>
      <c r="B16" s="40">
        <v>682517</v>
      </c>
      <c r="C16" s="44">
        <f t="shared" si="3"/>
        <v>2002821</v>
      </c>
      <c r="D16" s="41">
        <f t="shared" si="0"/>
        <v>-0.65922216713325854</v>
      </c>
      <c r="E16" s="42"/>
      <c r="F16" s="48">
        <v>673401</v>
      </c>
      <c r="G16" s="48">
        <v>1919313</v>
      </c>
      <c r="H16" s="41">
        <f t="shared" si="1"/>
        <v>-0.64914477211377197</v>
      </c>
      <c r="I16" s="42"/>
      <c r="J16" s="48">
        <v>9116</v>
      </c>
      <c r="K16" s="48">
        <v>83508</v>
      </c>
      <c r="L16" s="41">
        <f t="shared" si="2"/>
        <v>-0.89083680605450977</v>
      </c>
    </row>
    <row r="17" spans="1:12" x14ac:dyDescent="0.25">
      <c r="A17" s="58" t="s">
        <v>14</v>
      </c>
      <c r="B17" s="61">
        <f t="shared" si="3"/>
        <v>608847</v>
      </c>
      <c r="C17" s="61">
        <f t="shared" si="3"/>
        <v>2131289</v>
      </c>
      <c r="D17" s="62">
        <f t="shared" si="0"/>
        <v>-0.71432921579382236</v>
      </c>
      <c r="E17" s="42"/>
      <c r="F17" s="77">
        <v>599224</v>
      </c>
      <c r="G17" s="77">
        <v>2044005</v>
      </c>
      <c r="H17" s="78">
        <f t="shared" si="1"/>
        <v>-0.70683829051298797</v>
      </c>
      <c r="I17" s="42"/>
      <c r="J17" s="65">
        <v>9623</v>
      </c>
      <c r="K17" s="65">
        <v>87284</v>
      </c>
      <c r="L17" s="66">
        <f t="shared" si="2"/>
        <v>-0.88975069886806291</v>
      </c>
    </row>
    <row r="18" spans="1:12" x14ac:dyDescent="0.25">
      <c r="A18" s="38" t="s">
        <v>36</v>
      </c>
      <c r="B18" s="40">
        <f>SUM(B6:B17)</f>
        <v>9238882</v>
      </c>
      <c r="C18" s="40">
        <f>SUM(C6:C17)</f>
        <v>25215205</v>
      </c>
      <c r="D18" s="41">
        <f>B18/C18-1</f>
        <v>-0.63359877502483131</v>
      </c>
      <c r="E18" s="42"/>
      <c r="F18" s="40">
        <f>SUM(F6:F17)</f>
        <v>8991533</v>
      </c>
      <c r="G18" s="40">
        <f>SUM(G6:G17)</f>
        <v>24161433</v>
      </c>
      <c r="H18" s="41">
        <f>F18/G18-1</f>
        <v>-0.62785597195331921</v>
      </c>
      <c r="I18" s="42"/>
      <c r="J18" s="40">
        <f>SUM(J6:J17)</f>
        <v>247349</v>
      </c>
      <c r="K18" s="40">
        <f>SUM(K6:K17)</f>
        <v>1053772</v>
      </c>
      <c r="L18" s="41">
        <f>J18/K18-1</f>
        <v>-0.76527275349885937</v>
      </c>
    </row>
    <row r="19" spans="1:12" x14ac:dyDescent="0.25">
      <c r="A19" s="37"/>
      <c r="B19" s="37"/>
      <c r="E19" s="42"/>
    </row>
    <row r="20" spans="1:12" x14ac:dyDescent="0.25">
      <c r="A20" s="45" t="s">
        <v>45</v>
      </c>
      <c r="B20" s="37"/>
      <c r="G20" s="39" t="s">
        <v>51</v>
      </c>
      <c r="J20" s="39"/>
      <c r="K20" s="39"/>
    </row>
    <row r="21" spans="1:12" x14ac:dyDescent="0.25">
      <c r="A21" s="2" t="s">
        <v>50</v>
      </c>
      <c r="J21" s="39"/>
      <c r="K21" s="57"/>
    </row>
    <row r="23" spans="1:12" x14ac:dyDescent="0.25">
      <c r="B23" s="29"/>
      <c r="C23" s="29"/>
      <c r="D23" s="29"/>
    </row>
    <row r="24" spans="1:12" x14ac:dyDescent="0.25">
      <c r="G24" s="33" t="s">
        <v>49</v>
      </c>
    </row>
  </sheetData>
  <mergeCells count="4">
    <mergeCell ref="B3:D3"/>
    <mergeCell ref="F3:H3"/>
    <mergeCell ref="J3:L3"/>
    <mergeCell ref="A1:L1"/>
  </mergeCells>
  <phoneticPr fontId="17" type="noConversion"/>
  <pageMargins left="0.7" right="0.7" top="0.75" bottom="0.75" header="0.3" footer="0.3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CA Totals</vt:lpstr>
      <vt:lpstr>Los Angeles</vt:lpstr>
      <vt:lpstr>Burbank</vt:lpstr>
      <vt:lpstr>Long Beach</vt:lpstr>
      <vt:lpstr>Ontario</vt:lpstr>
      <vt:lpstr>Orange County</vt:lpstr>
      <vt:lpstr>Oakland</vt:lpstr>
      <vt:lpstr>Sacramento</vt:lpstr>
      <vt:lpstr>San Diego</vt:lpstr>
      <vt:lpstr>San Jose</vt:lpstr>
      <vt:lpstr>San Francisco</vt:lpstr>
      <vt:lpstr>High Low stats</vt:lpstr>
      <vt:lpstr>Burbank!Print_Area</vt:lpstr>
      <vt:lpstr>'CA Totals'!Print_Area</vt:lpstr>
      <vt:lpstr>'High Low stats'!Print_Area</vt:lpstr>
      <vt:lpstr>'Long Beach'!Print_Area</vt:lpstr>
      <vt:lpstr>'Los Angeles'!Print_Area</vt:lpstr>
      <vt:lpstr>Oakland!Print_Area</vt:lpstr>
      <vt:lpstr>Ontario!Print_Area</vt:lpstr>
      <vt:lpstr>'Orange County'!Print_Area</vt:lpstr>
      <vt:lpstr>Sacramento!Print_Area</vt:lpstr>
      <vt:lpstr>'San Francisco'!Print_Area</vt:lpstr>
      <vt:lpstr>'San Jose'!Print_Area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temp1</dc:creator>
  <cp:lastModifiedBy>Microsoft Office User</cp:lastModifiedBy>
  <cp:lastPrinted>2019-08-08T15:34:37Z</cp:lastPrinted>
  <dcterms:created xsi:type="dcterms:W3CDTF">2008-12-18T23:04:54Z</dcterms:created>
  <dcterms:modified xsi:type="dcterms:W3CDTF">2021-02-09T19:22:04Z</dcterms:modified>
</cp:coreProperties>
</file>