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AIRPORT Passenger Traffic/2022/"/>
    </mc:Choice>
  </mc:AlternateContent>
  <xr:revisionPtr revIDLastSave="0" documentId="13_ncr:1_{EB7D8D2C-AB68-C442-8776-EDE60C73E30B}" xr6:coauthVersionLast="47" xr6:coauthVersionMax="47" xr10:uidLastSave="{00000000-0000-0000-0000-000000000000}"/>
  <bookViews>
    <workbookView xWindow="6640" yWindow="3660" windowWidth="32200" windowHeight="20840" tabRatio="913" xr2:uid="{00000000-000D-0000-FFFF-FFFF00000000}"/>
  </bookViews>
  <sheets>
    <sheet name="CA Totals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Burbank!$A$1:$S$21</definedName>
    <definedName name="_xlnm.Print_Area" localSheetId="0">'CA Totals'!$A$1:$V$33</definedName>
    <definedName name="_xlnm.Print_Area" localSheetId="11">'High Low stats'!$A$3:$I$46</definedName>
    <definedName name="_xlnm.Print_Area" localSheetId="3">'Long Beach'!$A$1:$R$21</definedName>
    <definedName name="_xlnm.Print_Area" localSheetId="1">'Los Angeles'!$A$1:$V$21</definedName>
    <definedName name="_xlnm.Print_Area" localSheetId="6">Oakland!$A$1:$T$21</definedName>
    <definedName name="_xlnm.Print_Area" localSheetId="4">Ontario!$A$1:$V$21</definedName>
    <definedName name="_xlnm.Print_Area" localSheetId="5">'Orange County'!$A$1:$V$21</definedName>
    <definedName name="_xlnm.Print_Area" localSheetId="7">Sacramento!$A$1:$V$21</definedName>
    <definedName name="_xlnm.Print_Area" localSheetId="10">'San Francisco'!$A$1:$V$21</definedName>
    <definedName name="_xlnm.Print_Area" localSheetId="9">'San Jose'!$A$1:$V$21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9" l="1"/>
  <c r="B18" i="9"/>
  <c r="D18" i="9"/>
  <c r="I18" i="1"/>
  <c r="B18" i="1"/>
  <c r="I18" i="14"/>
  <c r="E18" i="14"/>
  <c r="C18" i="14"/>
  <c r="B18" i="14"/>
  <c r="Q18" i="9"/>
  <c r="R18" i="9"/>
  <c r="S18" i="9"/>
  <c r="P18" i="9"/>
  <c r="J18" i="9"/>
  <c r="K18" i="9"/>
  <c r="L18" i="9"/>
  <c r="C18" i="9"/>
  <c r="E18" i="9"/>
  <c r="Q18" i="8"/>
  <c r="R18" i="8"/>
  <c r="S18" i="8"/>
  <c r="P18" i="8"/>
  <c r="J18" i="8"/>
  <c r="K18" i="8"/>
  <c r="L18" i="8"/>
  <c r="I18" i="8"/>
  <c r="C18" i="8"/>
  <c r="D18" i="8"/>
  <c r="E18" i="8"/>
  <c r="B18" i="8"/>
  <c r="Q18" i="7"/>
  <c r="R18" i="7"/>
  <c r="S18" i="7"/>
  <c r="P18" i="7"/>
  <c r="J18" i="7"/>
  <c r="K18" i="7"/>
  <c r="L18" i="7"/>
  <c r="I18" i="7"/>
  <c r="C18" i="7"/>
  <c r="D18" i="7"/>
  <c r="E18" i="7"/>
  <c r="B18" i="7"/>
  <c r="Q18" i="6"/>
  <c r="R18" i="6"/>
  <c r="S18" i="6"/>
  <c r="P18" i="6"/>
  <c r="J18" i="6"/>
  <c r="K18" i="6"/>
  <c r="L18" i="6"/>
  <c r="I18" i="6"/>
  <c r="C18" i="6"/>
  <c r="D18" i="6"/>
  <c r="E18" i="6"/>
  <c r="B18" i="6"/>
  <c r="Q18" i="4"/>
  <c r="R18" i="4"/>
  <c r="S18" i="4"/>
  <c r="P18" i="4"/>
  <c r="J18" i="4"/>
  <c r="K18" i="4"/>
  <c r="L18" i="4"/>
  <c r="I18" i="4"/>
  <c r="C18" i="4"/>
  <c r="D18" i="4"/>
  <c r="E18" i="4"/>
  <c r="B18" i="4"/>
  <c r="Q18" i="10"/>
  <c r="R18" i="10"/>
  <c r="S18" i="10"/>
  <c r="P18" i="10"/>
  <c r="J18" i="10"/>
  <c r="K18" i="10"/>
  <c r="L18" i="10"/>
  <c r="I18" i="10"/>
  <c r="C18" i="10"/>
  <c r="D18" i="10"/>
  <c r="E18" i="10"/>
  <c r="B18" i="10"/>
  <c r="Q18" i="5"/>
  <c r="R18" i="5"/>
  <c r="S18" i="5"/>
  <c r="P18" i="5"/>
  <c r="J18" i="5"/>
  <c r="K18" i="5"/>
  <c r="L18" i="5"/>
  <c r="I18" i="5"/>
  <c r="C18" i="5"/>
  <c r="D18" i="5"/>
  <c r="E18" i="5"/>
  <c r="B18" i="5"/>
  <c r="J18" i="3"/>
  <c r="K18" i="3"/>
  <c r="L18" i="3"/>
  <c r="I18" i="3"/>
  <c r="C18" i="3"/>
  <c r="D18" i="3"/>
  <c r="E18" i="3"/>
  <c r="B18" i="3"/>
  <c r="J18" i="1"/>
  <c r="K18" i="1"/>
  <c r="L18" i="1"/>
  <c r="C18" i="1"/>
  <c r="D18" i="1"/>
  <c r="E18" i="1"/>
  <c r="Q18" i="2"/>
  <c r="R18" i="2"/>
  <c r="S18" i="2"/>
  <c r="P18" i="2"/>
  <c r="J18" i="2"/>
  <c r="K18" i="2"/>
  <c r="L18" i="2"/>
  <c r="I18" i="2"/>
  <c r="C18" i="2"/>
  <c r="D18" i="2"/>
  <c r="E18" i="2"/>
  <c r="B18" i="2"/>
  <c r="Q18" i="14"/>
  <c r="R18" i="14"/>
  <c r="S18" i="14"/>
  <c r="P18" i="14"/>
  <c r="J18" i="14"/>
  <c r="K18" i="14"/>
  <c r="L18" i="14"/>
  <c r="D18" i="14"/>
  <c r="P8" i="14" l="1"/>
  <c r="P9" i="14"/>
  <c r="P10" i="14"/>
  <c r="P11" i="14"/>
  <c r="P12" i="14"/>
  <c r="P13" i="14"/>
  <c r="P14" i="14"/>
  <c r="P15" i="14"/>
  <c r="P16" i="14"/>
  <c r="P17" i="14"/>
  <c r="I8" i="14"/>
  <c r="I9" i="14"/>
  <c r="I10" i="14"/>
  <c r="I11" i="14"/>
  <c r="I12" i="14"/>
  <c r="I13" i="14"/>
  <c r="I14" i="14"/>
  <c r="I15" i="14"/>
  <c r="I16" i="14"/>
  <c r="I17" i="14"/>
  <c r="B8" i="14"/>
  <c r="B9" i="14"/>
  <c r="B10" i="14"/>
  <c r="B11" i="14"/>
  <c r="B12" i="14"/>
  <c r="B13" i="14"/>
  <c r="T8" i="9"/>
  <c r="U8" i="9"/>
  <c r="T9" i="9"/>
  <c r="U9" i="9"/>
  <c r="T10" i="9"/>
  <c r="U10" i="9"/>
  <c r="T11" i="9"/>
  <c r="U11" i="9"/>
  <c r="T12" i="9"/>
  <c r="U12" i="9"/>
  <c r="T13" i="9"/>
  <c r="U13" i="9"/>
  <c r="T14" i="9"/>
  <c r="U14" i="9"/>
  <c r="T15" i="9"/>
  <c r="U15" i="9"/>
  <c r="T16" i="9"/>
  <c r="U16" i="9"/>
  <c r="T17" i="9"/>
  <c r="U17" i="9"/>
  <c r="T18" i="9"/>
  <c r="U18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B7" i="9"/>
  <c r="B8" i="9"/>
  <c r="B9" i="9"/>
  <c r="B10" i="9"/>
  <c r="B11" i="9"/>
  <c r="B12" i="9"/>
  <c r="B13" i="9"/>
  <c r="B17" i="14" l="1"/>
  <c r="B16" i="14"/>
  <c r="B15" i="14"/>
  <c r="B14" i="14"/>
  <c r="B13" i="8" l="1"/>
  <c r="P13" i="8"/>
  <c r="I13" i="8"/>
  <c r="B12" i="8"/>
  <c r="P12" i="8"/>
  <c r="I12" i="8"/>
  <c r="B13" i="7"/>
  <c r="B12" i="7"/>
  <c r="I12" i="6"/>
  <c r="I10" i="6"/>
  <c r="I7" i="6"/>
  <c r="I8" i="6"/>
  <c r="B8" i="6"/>
  <c r="B12" i="6"/>
  <c r="B13" i="6"/>
  <c r="I13" i="6"/>
  <c r="P13" i="6"/>
  <c r="P12" i="6"/>
  <c r="I13" i="4"/>
  <c r="I12" i="4"/>
  <c r="I13" i="10"/>
  <c r="I12" i="10"/>
  <c r="I13" i="5"/>
  <c r="N13" i="5" s="1"/>
  <c r="P13" i="5"/>
  <c r="P12" i="5"/>
  <c r="I12" i="5"/>
  <c r="N12" i="5" s="1"/>
  <c r="N11" i="5"/>
  <c r="M11" i="5"/>
  <c r="N13" i="3"/>
  <c r="M13" i="3"/>
  <c r="B13" i="2"/>
  <c r="B12" i="2"/>
  <c r="M12" i="5" l="1"/>
  <c r="M13" i="5"/>
  <c r="U18" i="7"/>
  <c r="F18" i="10"/>
  <c r="G18" i="10"/>
  <c r="F18" i="1"/>
  <c r="I11" i="8"/>
  <c r="B11" i="8" s="1"/>
  <c r="P11" i="8"/>
  <c r="B11" i="7"/>
  <c r="B11" i="6"/>
  <c r="P11" i="6"/>
  <c r="I11" i="6"/>
  <c r="I11" i="4"/>
  <c r="I11" i="10"/>
  <c r="P11" i="5"/>
  <c r="I11" i="5" s="1"/>
  <c r="B11" i="3"/>
  <c r="B11" i="1"/>
  <c r="B11" i="2"/>
  <c r="M18" i="8"/>
  <c r="T18" i="4"/>
  <c r="P10" i="8"/>
  <c r="I10" i="8"/>
  <c r="B10" i="8" s="1"/>
  <c r="P9" i="8"/>
  <c r="B9" i="8"/>
  <c r="G9" i="8" s="1"/>
  <c r="I9" i="8"/>
  <c r="B9" i="7"/>
  <c r="G9" i="7" s="1"/>
  <c r="B10" i="7"/>
  <c r="F10" i="7" s="1"/>
  <c r="I9" i="4"/>
  <c r="I10" i="4"/>
  <c r="P10" i="6"/>
  <c r="P9" i="6"/>
  <c r="I9" i="10"/>
  <c r="I10" i="10"/>
  <c r="P10" i="5"/>
  <c r="I9" i="5"/>
  <c r="P9" i="5"/>
  <c r="B10" i="3"/>
  <c r="G10" i="3" s="1"/>
  <c r="B9" i="3"/>
  <c r="G18" i="3" s="1"/>
  <c r="B10" i="1"/>
  <c r="B9" i="1"/>
  <c r="B10" i="2"/>
  <c r="B9" i="2"/>
  <c r="G18" i="2"/>
  <c r="M18" i="2"/>
  <c r="T18" i="8"/>
  <c r="G18" i="8"/>
  <c r="B8" i="8"/>
  <c r="P8" i="8"/>
  <c r="I8" i="8"/>
  <c r="B8" i="7"/>
  <c r="G8" i="6"/>
  <c r="P8" i="6"/>
  <c r="I8" i="4"/>
  <c r="I8" i="10"/>
  <c r="I6" i="10"/>
  <c r="P8" i="5"/>
  <c r="B8" i="2"/>
  <c r="Q6" i="14"/>
  <c r="J6" i="14"/>
  <c r="U18" i="8"/>
  <c r="U17" i="8"/>
  <c r="T17" i="8"/>
  <c r="U16" i="8"/>
  <c r="T16" i="8"/>
  <c r="U15" i="8"/>
  <c r="T15" i="8"/>
  <c r="U14" i="8"/>
  <c r="T14" i="8"/>
  <c r="U13" i="8"/>
  <c r="T13" i="8"/>
  <c r="U12" i="8"/>
  <c r="T12" i="8"/>
  <c r="U11" i="8"/>
  <c r="T11" i="8"/>
  <c r="U10" i="8"/>
  <c r="T10" i="8"/>
  <c r="U9" i="8"/>
  <c r="T9" i="8"/>
  <c r="U8" i="8"/>
  <c r="T8" i="8"/>
  <c r="U7" i="8"/>
  <c r="T7" i="8"/>
  <c r="U6" i="8"/>
  <c r="T6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N10" i="8"/>
  <c r="M10" i="8"/>
  <c r="N9" i="8"/>
  <c r="M9" i="8"/>
  <c r="N8" i="8"/>
  <c r="M8" i="8"/>
  <c r="N7" i="8"/>
  <c r="M7" i="8"/>
  <c r="N6" i="8"/>
  <c r="M6" i="8"/>
  <c r="G17" i="8"/>
  <c r="F17" i="8"/>
  <c r="G16" i="8"/>
  <c r="F16" i="8"/>
  <c r="G15" i="8"/>
  <c r="F15" i="8"/>
  <c r="G14" i="8"/>
  <c r="F14" i="8"/>
  <c r="G13" i="8"/>
  <c r="F13" i="8"/>
  <c r="G12" i="8"/>
  <c r="F12" i="8"/>
  <c r="G8" i="8"/>
  <c r="F8" i="8"/>
  <c r="G7" i="8"/>
  <c r="F7" i="8"/>
  <c r="G6" i="8"/>
  <c r="F6" i="8"/>
  <c r="P7" i="8"/>
  <c r="Q7" i="8"/>
  <c r="I7" i="8"/>
  <c r="P6" i="8"/>
  <c r="I6" i="8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8" i="7"/>
  <c r="F8" i="7"/>
  <c r="G7" i="7"/>
  <c r="F7" i="7"/>
  <c r="G6" i="7"/>
  <c r="F6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T6" i="7"/>
  <c r="U17" i="7"/>
  <c r="T17" i="7"/>
  <c r="U16" i="7"/>
  <c r="T16" i="7"/>
  <c r="U15" i="7"/>
  <c r="T15" i="7"/>
  <c r="U14" i="7"/>
  <c r="T14" i="7"/>
  <c r="U13" i="7"/>
  <c r="T13" i="7"/>
  <c r="U12" i="7"/>
  <c r="T12" i="7"/>
  <c r="U11" i="7"/>
  <c r="T11" i="7"/>
  <c r="U10" i="7"/>
  <c r="T10" i="7"/>
  <c r="U9" i="7"/>
  <c r="T9" i="7"/>
  <c r="U8" i="7"/>
  <c r="T8" i="7"/>
  <c r="U7" i="7"/>
  <c r="T7" i="7"/>
  <c r="U6" i="7"/>
  <c r="B7" i="7"/>
  <c r="B6" i="7"/>
  <c r="C6" i="7"/>
  <c r="T18" i="6"/>
  <c r="T6" i="6"/>
  <c r="U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U6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8" i="6"/>
  <c r="M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J6" i="6"/>
  <c r="Q7" i="6"/>
  <c r="Q8" i="6"/>
  <c r="J7" i="6"/>
  <c r="J8" i="6"/>
  <c r="P7" i="6"/>
  <c r="J9" i="6"/>
  <c r="J10" i="6"/>
  <c r="J11" i="6"/>
  <c r="J12" i="6"/>
  <c r="J13" i="6"/>
  <c r="J14" i="6"/>
  <c r="J15" i="6"/>
  <c r="J16" i="6"/>
  <c r="J17" i="6"/>
  <c r="P6" i="6"/>
  <c r="U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U6" i="10"/>
  <c r="T6" i="5"/>
  <c r="N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N6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T18" i="10"/>
  <c r="I7" i="10"/>
  <c r="J6" i="10"/>
  <c r="M6" i="10" s="1"/>
  <c r="J7" i="10"/>
  <c r="M7" i="10" s="1"/>
  <c r="J8" i="10"/>
  <c r="K6" i="10"/>
  <c r="T14" i="4"/>
  <c r="U18" i="4"/>
  <c r="T6" i="4"/>
  <c r="U17" i="4"/>
  <c r="T17" i="4"/>
  <c r="U16" i="4"/>
  <c r="T16" i="4"/>
  <c r="U15" i="4"/>
  <c r="T15" i="4"/>
  <c r="U14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I7" i="4"/>
  <c r="F6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5"/>
  <c r="I6" i="4"/>
  <c r="J6" i="4"/>
  <c r="T15" i="5"/>
  <c r="T9" i="5"/>
  <c r="M16" i="5"/>
  <c r="M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P7" i="5"/>
  <c r="T7" i="5" s="1"/>
  <c r="J6" i="5"/>
  <c r="P6" i="5"/>
  <c r="P6" i="14" s="1"/>
  <c r="M6" i="3"/>
  <c r="N18" i="3"/>
  <c r="N17" i="3"/>
  <c r="M17" i="3"/>
  <c r="N16" i="3"/>
  <c r="M16" i="3"/>
  <c r="N15" i="3"/>
  <c r="M15" i="3"/>
  <c r="N14" i="3"/>
  <c r="M14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18" i="1"/>
  <c r="M6" i="1"/>
  <c r="N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F10" i="3"/>
  <c r="G9" i="3"/>
  <c r="F9" i="3"/>
  <c r="G8" i="3"/>
  <c r="F8" i="3"/>
  <c r="G7" i="3"/>
  <c r="F7" i="3"/>
  <c r="G6" i="3"/>
  <c r="F6" i="3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U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M6" i="2"/>
  <c r="N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G6" i="2"/>
  <c r="F6" i="2"/>
  <c r="G7" i="2"/>
  <c r="F7" i="2"/>
  <c r="B7" i="2"/>
  <c r="B6" i="2"/>
  <c r="T6" i="9"/>
  <c r="T7" i="9"/>
  <c r="U7" i="9"/>
  <c r="U6" i="9"/>
  <c r="M7" i="9"/>
  <c r="N7" i="9"/>
  <c r="N6" i="9"/>
  <c r="M6" i="9"/>
  <c r="B6" i="9"/>
  <c r="C6" i="9"/>
  <c r="C17" i="9"/>
  <c r="Q17" i="8"/>
  <c r="J17" i="8"/>
  <c r="C17" i="7"/>
  <c r="Q17" i="6"/>
  <c r="J17" i="4"/>
  <c r="Q17" i="5"/>
  <c r="Q17" i="14" s="1"/>
  <c r="T17" i="14" s="1"/>
  <c r="C17" i="3"/>
  <c r="C17" i="1"/>
  <c r="C17" i="2"/>
  <c r="Q16" i="8"/>
  <c r="J16" i="8"/>
  <c r="C16" i="8" s="1"/>
  <c r="C16" i="7"/>
  <c r="Q16" i="6"/>
  <c r="J16" i="4"/>
  <c r="Q15" i="5"/>
  <c r="J15" i="5" s="1"/>
  <c r="M15" i="5" s="1"/>
  <c r="Q16" i="5"/>
  <c r="J16" i="5" s="1"/>
  <c r="C16" i="3"/>
  <c r="C16" i="1"/>
  <c r="C16" i="2"/>
  <c r="C16" i="9"/>
  <c r="C15" i="9"/>
  <c r="Q15" i="8"/>
  <c r="J15" i="8"/>
  <c r="C15" i="7"/>
  <c r="Q15" i="6"/>
  <c r="Q15" i="14" s="1"/>
  <c r="T15" i="14" s="1"/>
  <c r="J15" i="4"/>
  <c r="C15" i="2"/>
  <c r="C14" i="9"/>
  <c r="F6" i="9" l="1"/>
  <c r="T6" i="14"/>
  <c r="I8" i="5"/>
  <c r="P7" i="14"/>
  <c r="I7" i="5"/>
  <c r="T8" i="5"/>
  <c r="T16" i="5"/>
  <c r="I10" i="5"/>
  <c r="I6" i="5"/>
  <c r="C6" i="14"/>
  <c r="T17" i="5"/>
  <c r="T10" i="5"/>
  <c r="F11" i="8"/>
  <c r="G11" i="8"/>
  <c r="M18" i="3"/>
  <c r="F18" i="3"/>
  <c r="G10" i="7"/>
  <c r="T18" i="7"/>
  <c r="F9" i="7"/>
  <c r="M18" i="4"/>
  <c r="G18" i="4"/>
  <c r="N18" i="8"/>
  <c r="T18" i="2"/>
  <c r="G10" i="8"/>
  <c r="F10" i="8"/>
  <c r="F9" i="8"/>
  <c r="F18" i="2"/>
  <c r="F18" i="8"/>
  <c r="F8" i="6"/>
  <c r="M18" i="10"/>
  <c r="F18" i="4"/>
  <c r="G18" i="1"/>
  <c r="C17" i="8"/>
  <c r="C15" i="8"/>
  <c r="Q16" i="14"/>
  <c r="T16" i="14" s="1"/>
  <c r="J17" i="5"/>
  <c r="M17" i="5" s="1"/>
  <c r="M6" i="5" l="1"/>
  <c r="M10" i="5"/>
  <c r="F18" i="7"/>
  <c r="G18" i="7"/>
  <c r="N18" i="4"/>
  <c r="Q14" i="8"/>
  <c r="J14" i="8"/>
  <c r="C14" i="7"/>
  <c r="Q14" i="5"/>
  <c r="T14" i="5" s="1"/>
  <c r="C14" i="2"/>
  <c r="J14" i="4"/>
  <c r="J13" i="4"/>
  <c r="Q13" i="8"/>
  <c r="J13" i="8"/>
  <c r="C13" i="7"/>
  <c r="D13" i="9"/>
  <c r="C13" i="9"/>
  <c r="Q13" i="6"/>
  <c r="Q13" i="5"/>
  <c r="T13" i="5" s="1"/>
  <c r="C13" i="2"/>
  <c r="K12" i="6"/>
  <c r="J12" i="4"/>
  <c r="C12" i="9"/>
  <c r="Q12" i="8"/>
  <c r="J12" i="8"/>
  <c r="C12" i="7"/>
  <c r="Q12" i="6"/>
  <c r="Q12" i="5"/>
  <c r="T12" i="5" s="1"/>
  <c r="J12" i="5"/>
  <c r="C12" i="2"/>
  <c r="C11" i="9"/>
  <c r="Q11" i="8"/>
  <c r="J11" i="8"/>
  <c r="Q11" i="6"/>
  <c r="J11" i="4"/>
  <c r="J9" i="4"/>
  <c r="J10" i="4"/>
  <c r="J8" i="4"/>
  <c r="J10" i="5"/>
  <c r="Q11" i="5"/>
  <c r="C11" i="2"/>
  <c r="C9" i="9"/>
  <c r="C10" i="9"/>
  <c r="Q9" i="8"/>
  <c r="J9" i="8"/>
  <c r="Q10" i="8"/>
  <c r="J10" i="8"/>
  <c r="C10" i="8" s="1"/>
  <c r="C9" i="7"/>
  <c r="C10" i="7"/>
  <c r="Q10" i="6"/>
  <c r="Q9" i="6"/>
  <c r="J8" i="5"/>
  <c r="M8" i="5" s="1"/>
  <c r="C10" i="2"/>
  <c r="C9" i="2"/>
  <c r="T11" i="5" l="1"/>
  <c r="T18" i="5"/>
  <c r="C12" i="8"/>
  <c r="C9" i="8"/>
  <c r="Q9" i="14"/>
  <c r="T9" i="14" s="1"/>
  <c r="C13" i="8"/>
  <c r="C14" i="8"/>
  <c r="Q10" i="14"/>
  <c r="T10" i="14" s="1"/>
  <c r="C11" i="8"/>
  <c r="Q13" i="14"/>
  <c r="T13" i="14" s="1"/>
  <c r="J14" i="5"/>
  <c r="M14" i="5" s="1"/>
  <c r="Q11" i="14"/>
  <c r="T11" i="14" s="1"/>
  <c r="J13" i="5"/>
  <c r="Q12" i="14"/>
  <c r="T12" i="14" s="1"/>
  <c r="J11" i="5"/>
  <c r="K8" i="10"/>
  <c r="C8" i="9"/>
  <c r="Q8" i="8"/>
  <c r="J8" i="8"/>
  <c r="C8" i="8" s="1"/>
  <c r="C8" i="7"/>
  <c r="C8" i="2"/>
  <c r="J11" i="14" l="1"/>
  <c r="M11" i="14" s="1"/>
  <c r="Q8" i="14"/>
  <c r="T8" i="14" s="1"/>
  <c r="Q7" i="14" l="1"/>
  <c r="J7" i="8"/>
  <c r="C7" i="7"/>
  <c r="J7" i="4"/>
  <c r="K6" i="4"/>
  <c r="T7" i="14" l="1"/>
  <c r="T18" i="14"/>
  <c r="C7" i="8"/>
  <c r="J7" i="5"/>
  <c r="C7" i="2"/>
  <c r="M18" i="5" l="1"/>
  <c r="M7" i="5"/>
  <c r="C7" i="9"/>
  <c r="F7" i="9" l="1"/>
  <c r="Q6" i="8"/>
  <c r="J6" i="8"/>
  <c r="K6" i="8"/>
  <c r="Q6" i="6"/>
  <c r="K17" i="6"/>
  <c r="K6" i="6"/>
  <c r="C6" i="2"/>
  <c r="D6" i="2"/>
  <c r="C6" i="8" l="1"/>
  <c r="K17" i="4"/>
  <c r="R17" i="8"/>
  <c r="K17" i="8"/>
  <c r="D17" i="8" l="1"/>
  <c r="D17" i="9"/>
  <c r="D17" i="7"/>
  <c r="R17" i="6"/>
  <c r="K17" i="5"/>
  <c r="D17" i="2"/>
  <c r="E17" i="2"/>
  <c r="D17" i="6" l="1"/>
  <c r="R16" i="8"/>
  <c r="K16" i="8"/>
  <c r="R16" i="6"/>
  <c r="K16" i="6"/>
  <c r="K16" i="4"/>
  <c r="S16" i="5"/>
  <c r="U16" i="5" s="1"/>
  <c r="K16" i="5"/>
  <c r="D9" i="1"/>
  <c r="D16" i="2"/>
  <c r="D16" i="8" l="1"/>
  <c r="D16" i="6"/>
  <c r="R15" i="8"/>
  <c r="R15" i="6"/>
  <c r="R14" i="6"/>
  <c r="K14" i="6"/>
  <c r="K15" i="5"/>
  <c r="K15" i="4"/>
  <c r="K14" i="4"/>
  <c r="D15" i="2"/>
  <c r="K15" i="8" l="1"/>
  <c r="K15" i="6"/>
  <c r="K13" i="4"/>
  <c r="R14" i="8"/>
  <c r="K13" i="8"/>
  <c r="K13" i="6"/>
  <c r="R13" i="6"/>
  <c r="K14" i="5"/>
  <c r="K14" i="8" l="1"/>
  <c r="D14" i="2"/>
  <c r="D13" i="2" l="1"/>
  <c r="R13" i="8" l="1"/>
  <c r="D13" i="6"/>
  <c r="K12" i="4"/>
  <c r="K13" i="5"/>
  <c r="R13" i="14" l="1"/>
  <c r="D13" i="8"/>
  <c r="R12" i="6"/>
  <c r="D12" i="6" l="1"/>
  <c r="R12" i="8"/>
  <c r="K12" i="8"/>
  <c r="K12" i="5"/>
  <c r="K11" i="5"/>
  <c r="D12" i="8" l="1"/>
  <c r="D12" i="2"/>
  <c r="E12" i="2"/>
  <c r="R11" i="8" l="1"/>
  <c r="K11" i="8"/>
  <c r="D11" i="8" l="1"/>
  <c r="D11" i="7"/>
  <c r="D10" i="7"/>
  <c r="R11" i="6"/>
  <c r="K11" i="6"/>
  <c r="R7" i="5"/>
  <c r="K11" i="14" l="1"/>
  <c r="K7" i="5"/>
  <c r="D11" i="6"/>
  <c r="K10" i="8"/>
  <c r="D10" i="8" l="1"/>
  <c r="D10" i="1"/>
  <c r="D10" i="6" l="1"/>
  <c r="K10" i="6"/>
  <c r="D9" i="2"/>
  <c r="D10" i="2"/>
  <c r="E10" i="2"/>
  <c r="D9" i="3" l="1"/>
  <c r="D9" i="9" l="1"/>
  <c r="R9" i="8"/>
  <c r="K9" i="8"/>
  <c r="D9" i="8" l="1"/>
  <c r="D9" i="7"/>
  <c r="D9" i="10"/>
  <c r="R9" i="6"/>
  <c r="K9" i="6"/>
  <c r="D9" i="4"/>
  <c r="D9" i="5"/>
  <c r="D9" i="6" l="1"/>
  <c r="S6" i="6"/>
  <c r="L8" i="6"/>
  <c r="L7" i="6"/>
  <c r="L6" i="6"/>
  <c r="D8" i="7" l="1"/>
  <c r="E17" i="3" l="1"/>
  <c r="E16" i="3"/>
  <c r="E15" i="3"/>
  <c r="E14" i="3"/>
  <c r="E13" i="3"/>
  <c r="E12" i="3"/>
  <c r="E11" i="3"/>
  <c r="E10" i="3"/>
  <c r="E9" i="3"/>
  <c r="E8" i="3"/>
  <c r="E7" i="3"/>
  <c r="E6" i="3"/>
  <c r="D8" i="3"/>
  <c r="D7" i="3"/>
  <c r="D6" i="3"/>
  <c r="K8" i="8" l="1"/>
  <c r="R8" i="8"/>
  <c r="D8" i="8" l="1"/>
  <c r="K7" i="4"/>
  <c r="K8" i="4"/>
  <c r="R7" i="8" l="1"/>
  <c r="K7" i="8"/>
  <c r="K7" i="10"/>
  <c r="R8" i="5"/>
  <c r="K8" i="5" l="1"/>
  <c r="D7" i="8"/>
  <c r="D8" i="9"/>
  <c r="R8" i="6"/>
  <c r="K8" i="6"/>
  <c r="R7" i="6"/>
  <c r="K7" i="6"/>
  <c r="R6" i="5"/>
  <c r="D7" i="6" l="1"/>
  <c r="D8" i="6"/>
  <c r="D7" i="9"/>
  <c r="D7" i="7"/>
  <c r="D8" i="1" l="1"/>
  <c r="D7" i="1"/>
  <c r="D6" i="1"/>
  <c r="E6" i="1"/>
  <c r="R6" i="6" l="1"/>
  <c r="D6" i="6" l="1"/>
  <c r="D6" i="9"/>
  <c r="R6" i="8" l="1"/>
  <c r="D6" i="7"/>
  <c r="K6" i="5"/>
  <c r="S13" i="5"/>
  <c r="U13" i="5" s="1"/>
  <c r="S6" i="5"/>
  <c r="U6" i="5" l="1"/>
  <c r="L6" i="5"/>
  <c r="D6" i="8"/>
  <c r="K6" i="14"/>
  <c r="E6" i="9"/>
  <c r="E7" i="9"/>
  <c r="G7" i="9" s="1"/>
  <c r="E8" i="9"/>
  <c r="E9" i="9"/>
  <c r="E10" i="9"/>
  <c r="E11" i="9"/>
  <c r="E12" i="9"/>
  <c r="E13" i="9"/>
  <c r="E14" i="9"/>
  <c r="E15" i="9"/>
  <c r="E16" i="9"/>
  <c r="E17" i="9"/>
  <c r="S6" i="8"/>
  <c r="S7" i="8"/>
  <c r="S8" i="8"/>
  <c r="S9" i="8"/>
  <c r="S10" i="8"/>
  <c r="S11" i="8"/>
  <c r="S12" i="8"/>
  <c r="S13" i="8"/>
  <c r="S14" i="8"/>
  <c r="S15" i="8"/>
  <c r="S16" i="8"/>
  <c r="S17" i="8"/>
  <c r="L6" i="8"/>
  <c r="L7" i="8"/>
  <c r="L8" i="8"/>
  <c r="L9" i="8"/>
  <c r="L10" i="8"/>
  <c r="L11" i="8"/>
  <c r="L12" i="8"/>
  <c r="L13" i="8"/>
  <c r="L14" i="8"/>
  <c r="L15" i="8"/>
  <c r="L16" i="8"/>
  <c r="L17" i="8"/>
  <c r="E8" i="8"/>
  <c r="E6" i="7"/>
  <c r="E7" i="7"/>
  <c r="E8" i="7"/>
  <c r="E9" i="7"/>
  <c r="E10" i="7"/>
  <c r="E11" i="7"/>
  <c r="E12" i="7"/>
  <c r="E13" i="7"/>
  <c r="E14" i="7"/>
  <c r="E15" i="7"/>
  <c r="E16" i="7"/>
  <c r="E17" i="7"/>
  <c r="S7" i="6"/>
  <c r="S8" i="6"/>
  <c r="S9" i="6"/>
  <c r="S10" i="6"/>
  <c r="S11" i="6"/>
  <c r="S12" i="6"/>
  <c r="S13" i="6"/>
  <c r="S14" i="6"/>
  <c r="S15" i="6"/>
  <c r="S16" i="6"/>
  <c r="S17" i="6"/>
  <c r="L9" i="6"/>
  <c r="L10" i="6"/>
  <c r="L11" i="6"/>
  <c r="L12" i="6"/>
  <c r="L14" i="6"/>
  <c r="L15" i="6"/>
  <c r="L16" i="6"/>
  <c r="L17" i="6"/>
  <c r="L6" i="4"/>
  <c r="L7" i="4"/>
  <c r="L8" i="4"/>
  <c r="L9" i="4"/>
  <c r="L10" i="4"/>
  <c r="L11" i="4"/>
  <c r="L12" i="4"/>
  <c r="L13" i="4"/>
  <c r="L14" i="4"/>
  <c r="L15" i="4"/>
  <c r="L16" i="4"/>
  <c r="L17" i="4"/>
  <c r="L9" i="10"/>
  <c r="L10" i="10"/>
  <c r="L11" i="10"/>
  <c r="L12" i="10"/>
  <c r="L13" i="10"/>
  <c r="L14" i="10"/>
  <c r="L15" i="10"/>
  <c r="L16" i="10"/>
  <c r="L17" i="10"/>
  <c r="S7" i="5"/>
  <c r="U7" i="5" s="1"/>
  <c r="S8" i="5"/>
  <c r="U8" i="5" s="1"/>
  <c r="S9" i="5"/>
  <c r="U9" i="5" s="1"/>
  <c r="S10" i="5"/>
  <c r="U10" i="5" s="1"/>
  <c r="S11" i="5"/>
  <c r="S12" i="5"/>
  <c r="U12" i="5" s="1"/>
  <c r="L13" i="5"/>
  <c r="S14" i="5"/>
  <c r="U14" i="5" s="1"/>
  <c r="S15" i="5"/>
  <c r="U15" i="5" s="1"/>
  <c r="S17" i="5"/>
  <c r="U17" i="5" s="1"/>
  <c r="E7" i="1"/>
  <c r="E8" i="1"/>
  <c r="E9" i="1"/>
  <c r="E11" i="1"/>
  <c r="E13" i="1"/>
  <c r="E14" i="1"/>
  <c r="E15" i="1"/>
  <c r="E16" i="1"/>
  <c r="E17" i="1"/>
  <c r="E6" i="2"/>
  <c r="E7" i="2"/>
  <c r="E8" i="2"/>
  <c r="E9" i="2"/>
  <c r="E11" i="2"/>
  <c r="E13" i="2"/>
  <c r="E14" i="2"/>
  <c r="E15" i="2"/>
  <c r="E16" i="2"/>
  <c r="G6" i="9" l="1"/>
  <c r="N6" i="5"/>
  <c r="L11" i="5"/>
  <c r="U11" i="5"/>
  <c r="U18" i="5"/>
  <c r="E15" i="8"/>
  <c r="E10" i="8"/>
  <c r="S14" i="14"/>
  <c r="U14" i="14" s="1"/>
  <c r="E17" i="6"/>
  <c r="E14" i="6"/>
  <c r="E11" i="6"/>
  <c r="E10" i="6"/>
  <c r="L13" i="6"/>
  <c r="E16" i="6"/>
  <c r="E15" i="6"/>
  <c r="S16" i="14"/>
  <c r="U16" i="14" s="1"/>
  <c r="L15" i="5"/>
  <c r="N15" i="5" s="1"/>
  <c r="L14" i="5"/>
  <c r="N14" i="5" s="1"/>
  <c r="L12" i="5"/>
  <c r="L10" i="5"/>
  <c r="N10" i="5" s="1"/>
  <c r="L9" i="5"/>
  <c r="N9" i="5" s="1"/>
  <c r="S15" i="14"/>
  <c r="U15" i="14" s="1"/>
  <c r="S9" i="14"/>
  <c r="U9" i="14" s="1"/>
  <c r="E14" i="8"/>
  <c r="S8" i="14"/>
  <c r="U8" i="14" s="1"/>
  <c r="S7" i="14"/>
  <c r="U7" i="14" s="1"/>
  <c r="E9" i="6"/>
  <c r="L7" i="5"/>
  <c r="N7" i="5" s="1"/>
  <c r="E7" i="8"/>
  <c r="E6" i="8"/>
  <c r="L8" i="5"/>
  <c r="N8" i="5" s="1"/>
  <c r="E17" i="8"/>
  <c r="E16" i="8"/>
  <c r="E8" i="6"/>
  <c r="S17" i="14"/>
  <c r="U17" i="14" s="1"/>
  <c r="L17" i="5"/>
  <c r="N17" i="5" s="1"/>
  <c r="S11" i="14"/>
  <c r="U11" i="14" s="1"/>
  <c r="E7" i="6"/>
  <c r="L16" i="5"/>
  <c r="N16" i="5" s="1"/>
  <c r="E9" i="8"/>
  <c r="E6" i="6"/>
  <c r="S6" i="14"/>
  <c r="E13" i="8"/>
  <c r="E12" i="8"/>
  <c r="E11" i="8"/>
  <c r="E12" i="6"/>
  <c r="S13" i="14"/>
  <c r="U13" i="14" s="1"/>
  <c r="S12" i="14"/>
  <c r="U12" i="14" s="1"/>
  <c r="S10" i="14"/>
  <c r="U10" i="14" s="1"/>
  <c r="R6" i="14"/>
  <c r="R7" i="14"/>
  <c r="R8" i="14"/>
  <c r="R9" i="14"/>
  <c r="R10" i="14"/>
  <c r="R11" i="14"/>
  <c r="R12" i="14"/>
  <c r="R14" i="14"/>
  <c r="R15" i="14"/>
  <c r="R16" i="14"/>
  <c r="R17" i="14"/>
  <c r="K7" i="14"/>
  <c r="K8" i="14"/>
  <c r="K9" i="14"/>
  <c r="K10" i="14"/>
  <c r="K12" i="14"/>
  <c r="K13" i="14"/>
  <c r="K14" i="14"/>
  <c r="K15" i="14"/>
  <c r="K16" i="14"/>
  <c r="K17" i="14"/>
  <c r="N18" i="5" l="1"/>
  <c r="U18" i="14"/>
  <c r="U6" i="14"/>
  <c r="D11" i="14"/>
  <c r="D13" i="14"/>
  <c r="D17" i="14"/>
  <c r="D6" i="14"/>
  <c r="D15" i="14"/>
  <c r="D14" i="14"/>
  <c r="D16" i="14"/>
  <c r="D9" i="14"/>
  <c r="D12" i="14"/>
  <c r="D10" i="14"/>
  <c r="D8" i="14"/>
  <c r="D7" i="14"/>
  <c r="L7" i="14" l="1"/>
  <c r="L8" i="14"/>
  <c r="N8" i="14" s="1"/>
  <c r="L9" i="14"/>
  <c r="L10" i="14"/>
  <c r="L11" i="14"/>
  <c r="L12" i="14"/>
  <c r="N12" i="14" s="1"/>
  <c r="L13" i="14"/>
  <c r="N13" i="14" s="1"/>
  <c r="L14" i="14"/>
  <c r="N14" i="14" s="1"/>
  <c r="L15" i="14"/>
  <c r="L16" i="14"/>
  <c r="N16" i="14" s="1"/>
  <c r="L17" i="14"/>
  <c r="N17" i="14" s="1"/>
  <c r="D7" i="2"/>
  <c r="D8" i="2"/>
  <c r="E15" i="14" l="1"/>
  <c r="G15" i="14" s="1"/>
  <c r="N15" i="14"/>
  <c r="N11" i="14"/>
  <c r="E14" i="14"/>
  <c r="G14" i="14" s="1"/>
  <c r="E10" i="14"/>
  <c r="E17" i="14"/>
  <c r="G17" i="14" s="1"/>
  <c r="E9" i="14"/>
  <c r="E12" i="14"/>
  <c r="G12" i="14" s="1"/>
  <c r="E16" i="14"/>
  <c r="G16" i="14" s="1"/>
  <c r="E13" i="14"/>
  <c r="G13" i="14" s="1"/>
  <c r="E11" i="14"/>
  <c r="E7" i="14"/>
  <c r="E8" i="14"/>
  <c r="G8" i="14" s="1"/>
  <c r="L6" i="14"/>
  <c r="G11" i="14" l="1"/>
  <c r="E6" i="14"/>
  <c r="J15" i="14" l="1"/>
  <c r="M15" i="14" s="1"/>
  <c r="C15" i="14" l="1"/>
  <c r="F15" i="14" s="1"/>
  <c r="C11" i="14" l="1"/>
  <c r="J13" i="14"/>
  <c r="M13" i="14" s="1"/>
  <c r="J14" i="14"/>
  <c r="M14" i="14" s="1"/>
  <c r="J17" i="14"/>
  <c r="M17" i="14" s="1"/>
  <c r="J9" i="14"/>
  <c r="Q14" i="14"/>
  <c r="T14" i="14" s="1"/>
  <c r="J12" i="14"/>
  <c r="J10" i="14"/>
  <c r="J16" i="14"/>
  <c r="M16" i="14" s="1"/>
  <c r="C13" i="6"/>
  <c r="C11" i="6"/>
  <c r="C16" i="6"/>
  <c r="Q14" i="6"/>
  <c r="C12" i="6"/>
  <c r="C10" i="6"/>
  <c r="C17" i="6"/>
  <c r="C9" i="6"/>
  <c r="C12" i="14" l="1"/>
  <c r="F12" i="14" s="1"/>
  <c r="M12" i="14"/>
  <c r="C10" i="14"/>
  <c r="C17" i="14"/>
  <c r="F17" i="14" s="1"/>
  <c r="F11" i="14"/>
  <c r="C9" i="14"/>
  <c r="C14" i="14"/>
  <c r="F14" i="14" s="1"/>
  <c r="C13" i="14"/>
  <c r="F13" i="14" s="1"/>
  <c r="C16" i="14"/>
  <c r="F16" i="14" s="1"/>
  <c r="J8" i="14" l="1"/>
  <c r="M8" i="14" s="1"/>
  <c r="C8" i="6"/>
  <c r="C8" i="14" l="1"/>
  <c r="F8" i="14" s="1"/>
  <c r="J7" i="14"/>
  <c r="C7" i="6"/>
  <c r="C7" i="14" l="1"/>
  <c r="I7" i="14" l="1"/>
  <c r="M7" i="14" s="1"/>
  <c r="M9" i="14"/>
  <c r="I6" i="14"/>
  <c r="F6" i="6"/>
  <c r="G6" i="6"/>
  <c r="F7" i="6"/>
  <c r="G7" i="6"/>
  <c r="F9" i="6"/>
  <c r="G9" i="6"/>
  <c r="G10" i="6"/>
  <c r="F10" i="6"/>
  <c r="G18" i="6"/>
  <c r="N10" i="6"/>
  <c r="M10" i="6"/>
  <c r="I9" i="6"/>
  <c r="M9" i="6" s="1"/>
  <c r="N9" i="6"/>
  <c r="M7" i="6"/>
  <c r="I6" i="6"/>
  <c r="N6" i="6"/>
  <c r="B7" i="14" l="1"/>
  <c r="G7" i="14" s="1"/>
  <c r="N6" i="14"/>
  <c r="F9" i="14"/>
  <c r="M18" i="6"/>
  <c r="N18" i="6"/>
  <c r="B6" i="14"/>
  <c r="F18" i="6"/>
  <c r="M6" i="14"/>
  <c r="G9" i="14"/>
  <c r="N9" i="14"/>
  <c r="N7" i="14"/>
  <c r="F7" i="14"/>
  <c r="M6" i="6"/>
  <c r="N7" i="6"/>
  <c r="M10" i="14" l="1"/>
  <c r="N10" i="14"/>
  <c r="G6" i="14"/>
  <c r="F6" i="14"/>
  <c r="M18" i="14" l="1"/>
  <c r="N18" i="14"/>
  <c r="F18" i="14"/>
  <c r="G18" i="14"/>
  <c r="F10" i="14"/>
  <c r="G10" i="14"/>
</calcChain>
</file>

<file path=xl/sharedStrings.xml><?xml version="1.0" encoding="utf-8"?>
<sst xmlns="http://schemas.openxmlformats.org/spreadsheetml/2006/main" count="294" uniqueCount="57">
  <si>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</si>
  <si>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</si>
  <si>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</si>
  <si>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</si>
  <si>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</si>
  <si>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</si>
  <si>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</si>
  <si>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</si>
  <si>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</si>
  <si>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</si>
  <si>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</si>
  <si>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</si>
  <si>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</si>
  <si>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</si>
  <si>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</si>
  <si>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</si>
  <si>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</si>
  <si>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</si>
  <si>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</si>
  <si>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</si>
  <si>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</si>
  <si>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</si>
  <si>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</si>
  <si>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</si>
  <si>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</si>
  <si>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</si>
  <si>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</si>
  <si>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</si>
  <si>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</si>
  <si>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</si>
  <si>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</si>
  <si>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</si>
  <si>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</si>
  <si>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</si>
  <si>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</si>
  <si>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</si>
  <si>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</si>
  <si>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</si>
  <si>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</si>
  <si>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</si>
  <si>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</si>
  <si>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</si>
  <si>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</si>
  <si>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</si>
  <si>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</si>
  <si>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</si>
  <si>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</si>
  <si>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Totals</t>
  </si>
  <si>
    <t xml:space="preserve"> </t>
  </si>
  <si>
    <t>Note:  Monthly figures may not sum to YTD totals due to data revisions</t>
  </si>
  <si>
    <t xml:space="preserve">  </t>
  </si>
  <si>
    <t>YTD *</t>
  </si>
  <si>
    <t>Note:  Monthly figures may not sum to YTD totals due to data revisions. Added China direct flights in 2018</t>
  </si>
  <si>
    <t>CALIFORNIA TOTALS</t>
  </si>
  <si>
    <t>% Change from 2019</t>
  </si>
  <si>
    <t>Total</t>
  </si>
  <si>
    <t>% Change from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</si>
</sst>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5" fillId="0" borderId="4" xfId="0" applyFont="1" applyBorder="1"/>
    <xf numFmtId="0" fontId="5" fillId="0" borderId="0" xfId="0" applyFont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7" fontId="4" fillId="5" borderId="1" xfId="0" applyNumberFormat="1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 wrapText="1"/>
    </xf>
    <xf numFmtId="3" fontId="0" fillId="5" borderId="3" xfId="0" applyNumberFormat="1" applyFill="1" applyBorder="1" applyAlignment="1">
      <alignment horizontal="center" wrapText="1"/>
    </xf>
    <xf numFmtId="0" fontId="3" fillId="0" borderId="0" xfId="0" applyFont="1"/>
    <xf numFmtId="16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2" fillId="0" borderId="1" xfId="0" applyFont="1" applyBorder="1"/>
    <xf numFmtId="3" fontId="14" fillId="0" borderId="0" xfId="0" applyNumberFormat="1" applyFont="1"/>
    <xf numFmtId="0" fontId="15" fillId="0" borderId="0" xfId="0" applyFont="1"/>
    <xf numFmtId="0" fontId="2" fillId="3" borderId="1" xfId="0" applyFont="1" applyFill="1" applyBorder="1"/>
    <xf numFmtId="0" fontId="14" fillId="0" borderId="0" xfId="0" applyFont="1" applyAlignment="1">
      <alignment horizontal="center"/>
    </xf>
    <xf numFmtId="0" fontId="14" fillId="3" borderId="0" xfId="0" applyFont="1" applyFill="1"/>
    <xf numFmtId="0" fontId="0" fillId="3" borderId="0" xfId="0" applyFill="1"/>
    <xf numFmtId="3" fontId="0" fillId="0" borderId="0" xfId="0" applyNumberFormat="1" applyAlignment="1">
      <alignment horizontal="center"/>
    </xf>
    <xf numFmtId="0" fontId="2" fillId="7" borderId="1" xfId="0" applyFont="1" applyFill="1" applyBorder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/>
    <xf numFmtId="0" fontId="18" fillId="0" borderId="0" xfId="0" applyFont="1"/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0" fontId="21" fillId="0" borderId="0" xfId="2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3" fontId="14" fillId="2" borderId="2" xfId="0" applyNumberFormat="1" applyFont="1" applyFill="1" applyBorder="1"/>
    <xf numFmtId="164" fontId="14" fillId="2" borderId="1" xfId="0" applyNumberFormat="1" applyFont="1" applyFill="1" applyBorder="1"/>
    <xf numFmtId="3" fontId="14" fillId="2" borderId="1" xfId="0" applyNumberFormat="1" applyFont="1" applyFill="1" applyBorder="1"/>
    <xf numFmtId="3" fontId="14" fillId="2" borderId="5" xfId="0" applyNumberFormat="1" applyFont="1" applyFill="1" applyBorder="1"/>
    <xf numFmtId="165" fontId="14" fillId="0" borderId="1" xfId="3" applyNumberFormat="1" applyFont="1" applyBorder="1"/>
    <xf numFmtId="165" fontId="14" fillId="12" borderId="1" xfId="3" applyNumberFormat="1" applyFont="1" applyFill="1" applyBorder="1"/>
    <xf numFmtId="165" fontId="14" fillId="10" borderId="1" xfId="3" applyNumberFormat="1" applyFont="1" applyFill="1" applyBorder="1"/>
    <xf numFmtId="0" fontId="20" fillId="11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4" fillId="7" borderId="1" xfId="3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/>
    </xf>
    <xf numFmtId="165" fontId="14" fillId="10" borderId="1" xfId="3" applyNumberFormat="1" applyFont="1" applyFill="1" applyBorder="1" applyAlignment="1">
      <alignment horizontal="center"/>
    </xf>
    <xf numFmtId="165" fontId="14" fillId="12" borderId="1" xfId="3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9" fontId="14" fillId="0" borderId="1" xfId="4" applyFont="1" applyBorder="1" applyAlignment="1">
      <alignment horizontal="center" vertical="center"/>
    </xf>
    <xf numFmtId="9" fontId="14" fillId="7" borderId="1" xfId="4" applyFont="1" applyFill="1" applyBorder="1" applyAlignment="1">
      <alignment horizontal="center" vertical="center"/>
    </xf>
    <xf numFmtId="9" fontId="14" fillId="0" borderId="1" xfId="4" applyFont="1" applyBorder="1" applyAlignment="1">
      <alignment horizontal="center"/>
    </xf>
    <xf numFmtId="9" fontId="14" fillId="12" borderId="1" xfId="4" applyFont="1" applyFill="1" applyBorder="1" applyAlignment="1">
      <alignment horizontal="center"/>
    </xf>
    <xf numFmtId="9" fontId="14" fillId="10" borderId="1" xfId="4" applyFont="1" applyFill="1" applyBorder="1" applyAlignment="1">
      <alignment horizontal="center"/>
    </xf>
    <xf numFmtId="3" fontId="14" fillId="0" borderId="1" xfId="0" applyNumberFormat="1" applyFont="1" applyBorder="1"/>
    <xf numFmtId="3" fontId="14" fillId="7" borderId="1" xfId="0" applyNumberFormat="1" applyFont="1" applyFill="1" applyBorder="1"/>
    <xf numFmtId="165" fontId="14" fillId="7" borderId="1" xfId="0" applyNumberFormat="1" applyFont="1" applyFill="1" applyBorder="1"/>
    <xf numFmtId="165" fontId="14" fillId="0" borderId="1" xfId="0" applyNumberFormat="1" applyFont="1" applyBorder="1"/>
    <xf numFmtId="0" fontId="20" fillId="11" borderId="0" xfId="0" applyFont="1" applyFill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0" fontId="19" fillId="9" borderId="0" xfId="0" applyFont="1" applyFill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omma" xfId="3" builtinId="3"/>
    <cellStyle name="Hyperlink" xfId="2" builtinId="8"/>
    <cellStyle name="Normal" xfId="0" builtinId="0"/>
    <cellStyle name="Normal 2" xfId="1" xr:uid="{00000000-0005-0000-0000-000002000000}"/>
    <cellStyle name="Percent" xfId="4" builtinId="5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3"/>
  <sheetViews>
    <sheetView tabSelected="1" topLeftCell="A5" zoomScaleNormal="100" zoomScaleSheetLayoutView="90" workbookViewId="0">
      <selection activeCell="B14" sqref="B14"/>
    </sheetView>
  </sheetViews>
  <sheetFormatPr baseColWidth="10" defaultColWidth="8.83203125" defaultRowHeight="19" x14ac:dyDescent="0.25"/>
  <cols>
    <col min="1" max="2" width="13.83203125" style="26" customWidth="1"/>
    <col min="3" max="3" width="13.83203125" style="56" customWidth="1"/>
    <col min="4" max="4" width="16.5" style="56" bestFit="1" customWidth="1"/>
    <col min="5" max="7" width="13.83203125" style="56" customWidth="1"/>
    <col min="8" max="12" width="13.83203125" style="26" customWidth="1"/>
    <col min="13" max="14" width="13.83203125" style="56" customWidth="1"/>
    <col min="15" max="21" width="13.83203125" style="26" customWidth="1"/>
    <col min="23" max="23" width="9.33203125" customWidth="1"/>
  </cols>
  <sheetData>
    <row r="1" spans="1:59" ht="35" customHeight="1" x14ac:dyDescent="0.2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59" ht="15" x14ac:dyDescent="0.2">
      <c r="A2"/>
      <c r="B2"/>
      <c r="C2" s="58"/>
      <c r="D2" s="58"/>
      <c r="E2" s="58"/>
      <c r="F2" s="58"/>
      <c r="G2" s="58"/>
      <c r="H2"/>
      <c r="I2"/>
      <c r="J2"/>
      <c r="K2"/>
      <c r="L2"/>
      <c r="M2" s="58"/>
      <c r="N2" s="58"/>
      <c r="O2"/>
      <c r="P2"/>
      <c r="Q2"/>
      <c r="R2"/>
      <c r="S2"/>
      <c r="T2"/>
      <c r="U2"/>
    </row>
    <row r="3" spans="1:59" s="58" customFormat="1" ht="34" customHeight="1" x14ac:dyDescent="0.2">
      <c r="A3" s="56"/>
      <c r="B3" s="86" t="s">
        <v>47</v>
      </c>
      <c r="C3" s="86"/>
      <c r="D3" s="86"/>
      <c r="E3" s="86"/>
      <c r="F3" s="86"/>
      <c r="G3" s="87"/>
      <c r="H3" s="57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59" s="55" customFormat="1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H4" s="22"/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53" t="s">
        <v>54</v>
      </c>
    </row>
    <row r="5" spans="1:59" ht="25" customHeight="1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69"/>
      <c r="N5" s="69"/>
      <c r="P5" s="37"/>
      <c r="Q5" s="37"/>
      <c r="R5" s="37"/>
      <c r="S5" s="38"/>
      <c r="T5" s="37"/>
      <c r="U5" s="37"/>
    </row>
    <row r="6" spans="1:59" ht="25" customHeight="1" x14ac:dyDescent="0.25">
      <c r="A6" s="28" t="s">
        <v>3</v>
      </c>
      <c r="B6" s="63">
        <f t="shared" ref="B6:E17" si="0">SUM(I6,P6)</f>
        <v>10554919</v>
      </c>
      <c r="C6" s="63">
        <f t="shared" si="0"/>
        <v>4263584</v>
      </c>
      <c r="D6" s="63">
        <f t="shared" si="0"/>
        <v>17927298</v>
      </c>
      <c r="E6" s="63">
        <f t="shared" si="0"/>
        <v>17509241</v>
      </c>
      <c r="F6" s="76">
        <f>B6/C6-1</f>
        <v>1.4755977600066048</v>
      </c>
      <c r="G6" s="76">
        <f>B6/E6-1</f>
        <v>-0.39718009478537653</v>
      </c>
      <c r="H6" s="32"/>
      <c r="I6" s="70">
        <f>'Los Angeles'!I6+Burbank!I6+'Long Beach'!I6+Ontario!I6+'Orange County'!I6+Oakland!I6+Sacramento!I6+'San Diego'!I6+'San Jose'!I6+'San Francisco'!I6</f>
        <v>9139955</v>
      </c>
      <c r="J6" s="70">
        <f>'Los Angeles'!J6+Burbank!J6+'Long Beach'!J6+Ontario!J6+'Orange County'!J6+Oakland!J6+Sacramento!J6+'San Diego'!J6+'San Jose'!J6+'San Francisco'!J6</f>
        <v>3705606</v>
      </c>
      <c r="K6" s="70">
        <f>'Los Angeles'!K6+Burbank!K6+'Long Beach'!K6+Ontario!K6+'Orange County'!K6+Oakland!K6+Sacramento!K6+'San Diego'!K6+'San Jose'!K6+'San Francisco'!K6</f>
        <v>14409007</v>
      </c>
      <c r="L6" s="70">
        <f>'Los Angeles'!L6+Burbank!L6+'Long Beach'!L6+Ontario!L6+'Orange County'!L6+Oakland!L6+Sacramento!L6+'San Diego'!L6+'San Jose'!L6+'San Francisco'!L6</f>
        <v>14014502</v>
      </c>
      <c r="M6" s="78">
        <f>I6/J6-1</f>
        <v>1.4665209954862983</v>
      </c>
      <c r="N6" s="78">
        <f>I6/L6-1</f>
        <v>-0.34782163504632557</v>
      </c>
      <c r="O6" s="32"/>
      <c r="P6" s="70">
        <f>'Los Angeles'!P6+Ontario!P6+'Orange County'!P6+Oakland!P6+Sacramento!P6+'San Diego'!P6+'San Jose'!P6+'San Francisco'!P6</f>
        <v>1414964</v>
      </c>
      <c r="Q6" s="70">
        <f>'Los Angeles'!Q6+Ontario!Q6+'Orange County'!Q6+Oakland!Q6+Sacramento!Q6+'San Diego'!Q6+'San Jose'!Q6+'San Francisco'!Q6</f>
        <v>557978</v>
      </c>
      <c r="R6" s="70">
        <f>'Los Angeles'!R6+Ontario!R6+'Orange County'!R6+Oakland!R6+Sacramento!R6+'San Diego'!R6+'San Jose'!R6+'San Francisco'!R6</f>
        <v>3518291</v>
      </c>
      <c r="S6" s="70">
        <f>'Los Angeles'!S6+Ontario!S6+'Orange County'!S6+Oakland!S6+Sacramento!S6+'San Diego'!S6+'San Jose'!S6+'San Francisco'!S6</f>
        <v>3494739</v>
      </c>
      <c r="T6" s="78">
        <f>P6/Q6-1</f>
        <v>1.5358777586213077</v>
      </c>
      <c r="U6" s="78">
        <f>P6/S6-1</f>
        <v>-0.59511597289525775</v>
      </c>
    </row>
    <row r="7" spans="1:59" ht="25" customHeight="1" x14ac:dyDescent="0.25">
      <c r="A7" s="36" t="s">
        <v>4</v>
      </c>
      <c r="B7" s="64">
        <f t="shared" si="0"/>
        <v>11302928</v>
      </c>
      <c r="C7" s="64">
        <f t="shared" si="0"/>
        <v>4251879</v>
      </c>
      <c r="D7" s="64">
        <f t="shared" si="0"/>
        <v>16150142</v>
      </c>
      <c r="E7" s="64">
        <f t="shared" si="0"/>
        <v>16048966</v>
      </c>
      <c r="F7" s="77">
        <f t="shared" ref="F7:F18" si="1">B7/C7-1</f>
        <v>1.6583371728123026</v>
      </c>
      <c r="G7" s="77">
        <f t="shared" ref="G7:G18" si="2">B7/E7-1</f>
        <v>-0.2957223537017899</v>
      </c>
      <c r="H7" s="32"/>
      <c r="I7" s="72">
        <f>'Los Angeles'!I7+Burbank!I7+'Long Beach'!I7+Ontario!I7+'Orange County'!I7+Oakland!I7+Sacramento!I7+'San Diego'!I7+'San Jose'!I7+'San Francisco'!I7</f>
        <v>10088984</v>
      </c>
      <c r="J7" s="72">
        <f>'Los Angeles'!J7+Burbank!J7+'Long Beach'!J7+Ontario!J7+'Orange County'!J7+Oakland!J7+Sacramento!J7+'San Diego'!J7+'San Jose'!J7+'San Francisco'!J7</f>
        <v>3890582</v>
      </c>
      <c r="K7" s="72">
        <f>'Los Angeles'!K7+Burbank!K7+'Long Beach'!K7+Ontario!K7+'Orange County'!K7+Oakland!K7+Sacramento!K7+'San Diego'!K7+'San Jose'!K7+'San Francisco'!K7</f>
        <v>13509201</v>
      </c>
      <c r="L7" s="72">
        <f>'Los Angeles'!L7+Burbank!L7+'Long Beach'!L7+Ontario!L7+'Orange County'!L7+Oakland!L7+Sacramento!L7+'San Diego'!L7+'San Jose'!L7+'San Francisco'!L7</f>
        <v>13100720</v>
      </c>
      <c r="M7" s="79">
        <f t="shared" ref="M7:M17" si="3">I7/J7-1</f>
        <v>1.5931811744361126</v>
      </c>
      <c r="N7" s="79">
        <f t="shared" ref="N7:N17" si="4">I7/L7-1</f>
        <v>-0.22989087622665016</v>
      </c>
      <c r="O7" s="32"/>
      <c r="P7" s="71">
        <f>'Los Angeles'!P7+Ontario!P7+'Orange County'!P7+Oakland!P7+Sacramento!P7+'San Diego'!P7+'San Jose'!P7+'San Francisco'!P7</f>
        <v>1213944</v>
      </c>
      <c r="Q7" s="71">
        <f>'Los Angeles'!Q7+Ontario!Q7+'Orange County'!Q7+Oakland!Q7+Sacramento!Q7+'San Diego'!Q7+'San Jose'!Q7+'San Francisco'!Q7</f>
        <v>361297</v>
      </c>
      <c r="R7" s="71">
        <f>'Los Angeles'!R7+Ontario!R7+'Orange County'!R7+Oakland!R7+Sacramento!R7+'San Diego'!R7+'San Jose'!R7+'San Francisco'!R7</f>
        <v>2640941</v>
      </c>
      <c r="S7" s="71">
        <f>'Los Angeles'!S7+Ontario!S7+'Orange County'!S7+Oakland!S7+Sacramento!S7+'San Diego'!S7+'San Jose'!S7+'San Francisco'!S7</f>
        <v>2948246</v>
      </c>
      <c r="T7" s="80">
        <f t="shared" ref="T7:T17" si="5">P7/Q7-1</f>
        <v>2.359961472140649</v>
      </c>
      <c r="U7" s="80">
        <f t="shared" ref="U7:U18" si="6">P7/S7-1</f>
        <v>-0.58824874179427367</v>
      </c>
      <c r="W7" s="3"/>
      <c r="X7" s="3"/>
    </row>
    <row r="8" spans="1:59" ht="25" customHeight="1" x14ac:dyDescent="0.25">
      <c r="A8" s="28" t="s">
        <v>5</v>
      </c>
      <c r="B8" s="63">
        <f t="shared" si="0"/>
        <v>14765778</v>
      </c>
      <c r="C8" s="63">
        <f t="shared" ref="C8:C17" si="7">SUM(J8,Q8)</f>
        <v>6830848</v>
      </c>
      <c r="D8" s="63">
        <f t="shared" ref="D8:D17" si="8">SUM(K8,R8)</f>
        <v>8520466</v>
      </c>
      <c r="E8" s="63">
        <f t="shared" ref="E8:E17" si="9">SUM(L8,S8)</f>
        <v>19545437</v>
      </c>
      <c r="F8" s="76">
        <f t="shared" si="1"/>
        <v>1.161631762264363</v>
      </c>
      <c r="G8" s="76">
        <f t="shared" si="2"/>
        <v>-0.24454091254137733</v>
      </c>
      <c r="H8" s="32"/>
      <c r="I8" s="70">
        <f>'Los Angeles'!I8+Burbank!I8+'Long Beach'!I8+Ontario!I8+'Orange County'!I8+Oakland!I8+Sacramento!I8+'San Diego'!I8+'San Jose'!I8+'San Francisco'!I8</f>
        <v>13011202</v>
      </c>
      <c r="J8" s="70">
        <f>'Los Angeles'!J8+Burbank!J8+'Long Beach'!J8+Ontario!J8+'Orange County'!J8+Oakland!J8+Sacramento!J8+'San Diego'!J8+'San Jose'!J8+'San Francisco'!J8</f>
        <v>6303117</v>
      </c>
      <c r="K8" s="70">
        <f>'Los Angeles'!K8+Burbank!K8+'Long Beach'!K8+Ontario!K8+'Orange County'!K8+Oakland!K8+Sacramento!K8+'San Diego'!K8+'San Jose'!K8+'San Francisco'!K8</f>
        <v>7052175</v>
      </c>
      <c r="L8" s="70">
        <f>'Los Angeles'!L8+Burbank!L8+'Long Beach'!L8+Ontario!L8+'Orange County'!L8+Oakland!L8+Sacramento!L8+'San Diego'!L8+'San Jose'!L8+'San Francisco'!L8</f>
        <v>16082812</v>
      </c>
      <c r="M8" s="78">
        <f t="shared" si="3"/>
        <v>1.0642488470386953</v>
      </c>
      <c r="N8" s="78">
        <f t="shared" si="4"/>
        <v>-0.1909871233960827</v>
      </c>
      <c r="O8" s="32"/>
      <c r="P8" s="70">
        <f>'Los Angeles'!P8+Ontario!P8+'Orange County'!P8+Oakland!P8+Sacramento!P8+'San Diego'!P8+'San Jose'!P8+'San Francisco'!P8</f>
        <v>1754576</v>
      </c>
      <c r="Q8" s="70">
        <f>'Los Angeles'!Q8+Ontario!Q8+'Orange County'!Q8+Oakland!Q8+Sacramento!Q8+'San Diego'!Q8+'San Jose'!Q8+'San Francisco'!Q8</f>
        <v>527731</v>
      </c>
      <c r="R8" s="70">
        <f>'Los Angeles'!R8+Ontario!R8+'Orange County'!R8+Oakland!R8+Sacramento!R8+'San Diego'!R8+'San Jose'!R8+'San Francisco'!R8</f>
        <v>1468291</v>
      </c>
      <c r="S8" s="70">
        <f>'Los Angeles'!S8+Ontario!S8+'Orange County'!S8+Oakland!S8+Sacramento!S8+'San Diego'!S8+'San Jose'!S8+'San Francisco'!S8</f>
        <v>3462625</v>
      </c>
      <c r="T8" s="78">
        <f t="shared" si="5"/>
        <v>2.3247544677117697</v>
      </c>
      <c r="U8" s="78">
        <f t="shared" si="6"/>
        <v>-0.49328154218259268</v>
      </c>
      <c r="W8" s="3"/>
      <c r="X8" s="3"/>
    </row>
    <row r="9" spans="1:59" ht="25" customHeight="1" x14ac:dyDescent="0.25">
      <c r="A9" s="36" t="s">
        <v>6</v>
      </c>
      <c r="B9" s="64">
        <f t="shared" si="0"/>
        <v>15831428</v>
      </c>
      <c r="C9" s="64">
        <f t="shared" si="7"/>
        <v>7970564</v>
      </c>
      <c r="D9" s="64">
        <f t="shared" si="8"/>
        <v>739133</v>
      </c>
      <c r="E9" s="64">
        <f t="shared" si="9"/>
        <v>19652201</v>
      </c>
      <c r="F9" s="77">
        <f t="shared" si="1"/>
        <v>0.98623685852092779</v>
      </c>
      <c r="G9" s="77">
        <f t="shared" si="2"/>
        <v>-0.19441959707210399</v>
      </c>
      <c r="H9" s="32"/>
      <c r="I9" s="72">
        <f>'Los Angeles'!I9+Burbank!I9+'Long Beach'!I9+Ontario!I9+'Orange County'!I9+Oakland!I9+Sacramento!I9+'San Diego'!I9+'San Jose'!I9+'San Francisco'!I9</f>
        <v>13710115</v>
      </c>
      <c r="J9" s="72">
        <f>'Los Angeles'!J9+Burbank!J9+'Long Beach'!J9+Ontario!J9+'Orange County'!J9+Oakland!J9+Sacramento!J9+'San Diego'!J9+'San Jose'!J9+'San Francisco'!J9</f>
        <v>7325857</v>
      </c>
      <c r="K9" s="72">
        <f>'Los Angeles'!K9+Burbank!K9+'Long Beach'!K9+Ontario!K9+'Orange County'!K9+Oakland!K9+Sacramento!K9+'San Diego'!K9+'San Jose'!K9+'San Francisco'!K9</f>
        <v>654059</v>
      </c>
      <c r="L9" s="72">
        <f>'Los Angeles'!L9+Burbank!L9+'Long Beach'!L9+Ontario!L9+'Orange County'!L9+Oakland!L9+Sacramento!L9+'San Diego'!L9+'San Jose'!L9+'San Francisco'!L9</f>
        <v>16033953</v>
      </c>
      <c r="M9" s="79">
        <f t="shared" si="3"/>
        <v>0.87146909911017922</v>
      </c>
      <c r="N9" s="79">
        <f t="shared" si="4"/>
        <v>-0.14493231955962449</v>
      </c>
      <c r="O9" s="32"/>
      <c r="P9" s="71">
        <f>'Los Angeles'!P9+Ontario!P9+'Orange County'!P9+Oakland!P9+Sacramento!P9+'San Diego'!P9+'San Jose'!P9+'San Francisco'!P9</f>
        <v>2121313</v>
      </c>
      <c r="Q9" s="71">
        <f>'Los Angeles'!Q9+Ontario!Q9+'Orange County'!Q9+Oakland!Q9+Sacramento!Q9+'San Diego'!Q9+'San Jose'!Q9+'San Francisco'!Q9</f>
        <v>644707</v>
      </c>
      <c r="R9" s="71">
        <f>'Los Angeles'!R9+Ontario!R9+'Orange County'!R9+Oakland!R9+Sacramento!R9+'San Diego'!R9+'San Jose'!R9+'San Francisco'!R9</f>
        <v>85074</v>
      </c>
      <c r="S9" s="71">
        <f>'Los Angeles'!S9+Ontario!S9+'Orange County'!S9+Oakland!S9+Sacramento!S9+'San Diego'!S9+'San Jose'!S9+'San Francisco'!S9</f>
        <v>3618248</v>
      </c>
      <c r="T9" s="80">
        <f t="shared" si="5"/>
        <v>2.2903520513969911</v>
      </c>
      <c r="U9" s="80">
        <f t="shared" si="6"/>
        <v>-0.41371818626031165</v>
      </c>
      <c r="W9" s="3"/>
    </row>
    <row r="10" spans="1:59" ht="25" customHeight="1" x14ac:dyDescent="0.25">
      <c r="A10" s="28" t="s">
        <v>7</v>
      </c>
      <c r="B10" s="63">
        <f t="shared" si="0"/>
        <v>16868689</v>
      </c>
      <c r="C10" s="63">
        <f t="shared" si="7"/>
        <v>10125888</v>
      </c>
      <c r="D10" s="63">
        <f t="shared" si="8"/>
        <v>1591004</v>
      </c>
      <c r="E10" s="63">
        <f t="shared" si="9"/>
        <v>20696477</v>
      </c>
      <c r="F10" s="76">
        <f t="shared" si="1"/>
        <v>0.66589725266564281</v>
      </c>
      <c r="G10" s="76">
        <f t="shared" si="2"/>
        <v>-0.18494877171607516</v>
      </c>
      <c r="H10" s="32"/>
      <c r="I10" s="70">
        <f>'Los Angeles'!I10+Burbank!I10+'Long Beach'!I10+Ontario!I10+'Orange County'!I10+Oakland!I10+Sacramento!I10+'San Diego'!I10+'San Jose'!I10+'San Francisco'!I10</f>
        <v>14461583</v>
      </c>
      <c r="J10" s="70">
        <f>'Los Angeles'!J10+Burbank!J10+'Long Beach'!J10+Ontario!J10+'Orange County'!J10+Oakland!J10+Sacramento!J10+'San Diego'!J10+'San Jose'!J10+'San Francisco'!J10</f>
        <v>9245291</v>
      </c>
      <c r="K10" s="70">
        <f>'Los Angeles'!K10+Burbank!K10+'Long Beach'!K10+Ontario!K10+'Orange County'!K10+Oakland!K10+Sacramento!K10+'San Diego'!K10+'San Jose'!K10+'San Francisco'!K10</f>
        <v>1507544</v>
      </c>
      <c r="L10" s="70">
        <f>'Los Angeles'!L10+Burbank!L10+'Long Beach'!L10+Ontario!L10+'Orange County'!L10+Oakland!L10+Sacramento!L10+'San Diego'!L10+'San Jose'!L10+'San Francisco'!L10</f>
        <v>16854310</v>
      </c>
      <c r="M10" s="78">
        <f t="shared" si="3"/>
        <v>0.56421068844669131</v>
      </c>
      <c r="N10" s="78">
        <f t="shared" si="4"/>
        <v>-0.14196528959061505</v>
      </c>
      <c r="O10" s="32"/>
      <c r="P10" s="70">
        <f>'Los Angeles'!P10+Ontario!P10+'Orange County'!P10+Oakland!P10+Sacramento!P10+'San Diego'!P10+'San Jose'!P10+'San Francisco'!P10</f>
        <v>2407106</v>
      </c>
      <c r="Q10" s="70">
        <f>'Los Angeles'!Q10+Ontario!Q10+'Orange County'!Q10+Oakland!Q10+Sacramento!Q10+'San Diego'!Q10+'San Jose'!Q10+'San Francisco'!Q10</f>
        <v>880597</v>
      </c>
      <c r="R10" s="70">
        <f>'Los Angeles'!R10+Ontario!R10+'Orange County'!R10+Oakland!R10+Sacramento!R10+'San Diego'!R10+'San Jose'!R10+'San Francisco'!R10</f>
        <v>83460</v>
      </c>
      <c r="S10" s="70">
        <f>'Los Angeles'!S10+Ontario!S10+'Orange County'!S10+Oakland!S10+Sacramento!S10+'San Diego'!S10+'San Jose'!S10+'San Francisco'!S10</f>
        <v>3842167</v>
      </c>
      <c r="T10" s="78">
        <f t="shared" si="5"/>
        <v>1.7334933005676829</v>
      </c>
      <c r="U10" s="78">
        <f t="shared" si="6"/>
        <v>-0.373503025766449</v>
      </c>
    </row>
    <row r="11" spans="1:59" ht="25" customHeight="1" x14ac:dyDescent="0.25">
      <c r="A11" s="36" t="s">
        <v>8</v>
      </c>
      <c r="B11" s="64">
        <f t="shared" si="0"/>
        <v>17888297</v>
      </c>
      <c r="C11" s="64">
        <f t="shared" si="7"/>
        <v>12395668</v>
      </c>
      <c r="D11" s="64">
        <f t="shared" si="8"/>
        <v>3198022</v>
      </c>
      <c r="E11" s="64">
        <f t="shared" si="9"/>
        <v>21814825</v>
      </c>
      <c r="F11" s="77">
        <f>B11/C11-1</f>
        <v>0.44310875380011794</v>
      </c>
      <c r="G11" s="77">
        <f t="shared" si="2"/>
        <v>-0.17999355942575745</v>
      </c>
      <c r="H11" s="32"/>
      <c r="I11" s="72">
        <f>'Los Angeles'!I11+Burbank!I11+'Long Beach'!I11+Ontario!I11+'Orange County'!I11+Oakland!I11+Sacramento!I11+'San Diego'!I11+'San Jose'!I11+'San Francisco'!I11</f>
        <v>15030186</v>
      </c>
      <c r="J11" s="72">
        <f>'Los Angeles'!J11+Burbank!J11+'Long Beach'!J11+Ontario!J11+'Orange County'!J11+Oakland!J11+Sacramento!J11+'San Diego'!J11+'San Jose'!J11+'San Francisco'!J11</f>
        <v>11237208</v>
      </c>
      <c r="K11" s="72">
        <f>'Los Angeles'!K11+Burbank!K11+'Long Beach'!K11+Ontario!K11+'Orange County'!K11+Oakland!K11+Sacramento!K11+'San Diego'!K11+'San Jose'!K11+'San Francisco'!K11</f>
        <v>3011044</v>
      </c>
      <c r="L11" s="72">
        <f>'Los Angeles'!L11+Burbank!L11+'Long Beach'!L11+Ontario!L11+'Orange County'!L11+Oakland!L11+Sacramento!L11+'San Diego'!L11+'San Jose'!L11+'San Francisco'!L11</f>
        <v>17633938</v>
      </c>
      <c r="M11" s="79">
        <f t="shared" si="3"/>
        <v>0.33753740252916908</v>
      </c>
      <c r="N11" s="79">
        <f t="shared" si="4"/>
        <v>-0.14765573067116378</v>
      </c>
      <c r="O11" s="32"/>
      <c r="P11" s="71">
        <f>'Los Angeles'!P11+Ontario!P11+'Orange County'!P11+Oakland!P11+Sacramento!P11+'San Diego'!P11+'San Jose'!P11+'San Francisco'!P11</f>
        <v>2858111</v>
      </c>
      <c r="Q11" s="71">
        <f>'Los Angeles'!Q11+Ontario!Q11+'Orange County'!Q11+Oakland!Q11+Sacramento!Q11+'San Diego'!Q11+'San Jose'!Q11+'San Francisco'!Q11</f>
        <v>1158460</v>
      </c>
      <c r="R11" s="71">
        <f>'Los Angeles'!R11+Ontario!R11+'Orange County'!R11+Oakland!R11+Sacramento!R11+'San Diego'!R11+'San Jose'!R11+'San Francisco'!R11</f>
        <v>186978</v>
      </c>
      <c r="S11" s="71">
        <f>'Los Angeles'!S11+Ontario!S11+'Orange County'!S11+Oakland!S11+Sacramento!S11+'San Diego'!S11+'San Jose'!S11+'San Francisco'!S11</f>
        <v>4180887</v>
      </c>
      <c r="T11" s="80">
        <f t="shared" si="5"/>
        <v>1.4671641662206723</v>
      </c>
      <c r="U11" s="80">
        <f t="shared" si="6"/>
        <v>-0.31638645100908014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25" customHeight="1" x14ac:dyDescent="0.25">
      <c r="A12" s="28" t="s">
        <v>9</v>
      </c>
      <c r="B12" s="63">
        <f t="shared" si="0"/>
        <v>18607492</v>
      </c>
      <c r="C12" s="63">
        <f t="shared" si="7"/>
        <v>14295697</v>
      </c>
      <c r="D12" s="63">
        <f t="shared" si="8"/>
        <v>4482725</v>
      </c>
      <c r="E12" s="63">
        <f t="shared" si="9"/>
        <v>22755030</v>
      </c>
      <c r="F12" s="76">
        <f t="shared" si="1"/>
        <v>0.30161488453483587</v>
      </c>
      <c r="G12" s="76">
        <f t="shared" si="2"/>
        <v>-0.18226906314779634</v>
      </c>
      <c r="H12" s="32"/>
      <c r="I12" s="70">
        <f>'Los Angeles'!I12+Burbank!I12+'Long Beach'!I12+Ontario!I12+'Orange County'!I12+Oakland!I12+Sacramento!I12+'San Diego'!I12+'San Jose'!I12+'San Francisco'!I12</f>
        <v>15419777</v>
      </c>
      <c r="J12" s="70">
        <f>'Los Angeles'!J12+Burbank!J12+'Long Beach'!J12+Ontario!J12+'Orange County'!J12+Oakland!J12+Sacramento!J12+'San Diego'!J12+'San Jose'!J12+'San Francisco'!J12</f>
        <v>12867639</v>
      </c>
      <c r="K12" s="70">
        <f>'Los Angeles'!K12+Burbank!K12+'Long Beach'!K12+Ontario!K12+'Orange County'!K12+Oakland!K12+Sacramento!K12+'San Diego'!K12+'San Jose'!K12+'San Francisco'!K12</f>
        <v>4172590</v>
      </c>
      <c r="L12" s="70">
        <f>'Los Angeles'!L12+Burbank!L12+'Long Beach'!L12+Ontario!L12+'Orange County'!L12+Oakland!L12+Sacramento!L12+'San Diego'!L12+'San Jose'!L12+'San Francisco'!L12</f>
        <v>18344723</v>
      </c>
      <c r="M12" s="78">
        <f t="shared" si="3"/>
        <v>0.19833770593035749</v>
      </c>
      <c r="N12" s="78">
        <f t="shared" si="4"/>
        <v>-0.15944345412029393</v>
      </c>
      <c r="O12" s="32"/>
      <c r="P12" s="70">
        <f>'Los Angeles'!P12+Ontario!P12+'Orange County'!P12+Oakland!P12+Sacramento!P12+'San Diego'!P12+'San Jose'!P12+'San Francisco'!P12</f>
        <v>3187715</v>
      </c>
      <c r="Q12" s="70">
        <f>'Los Angeles'!Q12+Ontario!Q12+'Orange County'!Q12+Oakland!Q12+Sacramento!Q12+'San Diego'!Q12+'San Jose'!Q12+'San Francisco'!Q12</f>
        <v>1428058</v>
      </c>
      <c r="R12" s="70">
        <f>'Los Angeles'!R12+Ontario!R12+'Orange County'!R12+Oakland!R12+Sacramento!R12+'San Diego'!R12+'San Jose'!R12+'San Francisco'!R12</f>
        <v>310135</v>
      </c>
      <c r="S12" s="70">
        <f>'Los Angeles'!S12+Ontario!S12+'Orange County'!S12+Oakland!S12+Sacramento!S12+'San Diego'!S12+'San Jose'!S12+'San Francisco'!S12</f>
        <v>4410307</v>
      </c>
      <c r="T12" s="78">
        <f t="shared" si="5"/>
        <v>1.2322027536696689</v>
      </c>
      <c r="U12" s="78">
        <f t="shared" si="6"/>
        <v>-0.27721244802232592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5" customHeight="1" x14ac:dyDescent="0.25">
      <c r="A13" s="36" t="s">
        <v>10</v>
      </c>
      <c r="B13" s="64">
        <f t="shared" si="0"/>
        <v>17990678</v>
      </c>
      <c r="C13" s="64">
        <f t="shared" si="7"/>
        <v>13407150</v>
      </c>
      <c r="D13" s="64">
        <f t="shared" si="8"/>
        <v>4855769</v>
      </c>
      <c r="E13" s="64">
        <f t="shared" si="9"/>
        <v>22378689</v>
      </c>
      <c r="F13" s="77">
        <f t="shared" si="1"/>
        <v>0.34187191162924258</v>
      </c>
      <c r="G13" s="77">
        <f t="shared" si="2"/>
        <v>-0.19607989547555715</v>
      </c>
      <c r="H13" s="32"/>
      <c r="I13" s="72">
        <f>'Los Angeles'!I13+Burbank!I13+'Long Beach'!I13+Ontario!I13+'Orange County'!I13+Oakland!I13+Sacramento!I13+'San Diego'!I13+'San Jose'!I13+'San Francisco'!I13</f>
        <v>14964915</v>
      </c>
      <c r="J13" s="72">
        <f>'Los Angeles'!J13+Burbank!J13+'Long Beach'!J13+Ontario!J13+'Orange County'!J13+Oakland!J13+Sacramento!J13+'San Diego'!J13+'San Jose'!J13+'San Francisco'!J13</f>
        <v>11973406</v>
      </c>
      <c r="K13" s="72">
        <f>'Los Angeles'!K13+Burbank!K13+'Long Beach'!K13+Ontario!K13+'Orange County'!K13+Oakland!K13+Sacramento!K13+'San Diego'!K13+'San Jose'!K13+'San Francisco'!K13</f>
        <v>4476438</v>
      </c>
      <c r="L13" s="72">
        <f>'Los Angeles'!L13+Burbank!L13+'Long Beach'!L13+Ontario!L13+'Orange County'!L13+Oakland!L13+Sacramento!L13+'San Diego'!L13+'San Jose'!L13+'San Francisco'!L13</f>
        <v>18126708</v>
      </c>
      <c r="M13" s="79">
        <f t="shared" si="3"/>
        <v>0.24984611730363104</v>
      </c>
      <c r="N13" s="79">
        <f t="shared" si="4"/>
        <v>-0.1744273146563623</v>
      </c>
      <c r="O13" s="32"/>
      <c r="P13" s="71">
        <f>'Los Angeles'!P13+Ontario!P13+'Orange County'!P13+Oakland!P13+Sacramento!P13+'San Diego'!P13+'San Jose'!P13+'San Francisco'!P13</f>
        <v>3025763</v>
      </c>
      <c r="Q13" s="71">
        <f>'Los Angeles'!Q13+Ontario!Q13+'Orange County'!Q13+Oakland!Q13+Sacramento!Q13+'San Diego'!Q13+'San Jose'!Q13+'San Francisco'!Q13</f>
        <v>1433744</v>
      </c>
      <c r="R13" s="71">
        <f>'Los Angeles'!R13+Ontario!R13+'Orange County'!R13+Oakland!R13+Sacramento!R13+'San Diego'!R13+'San Jose'!R13+'San Francisco'!R13</f>
        <v>379331</v>
      </c>
      <c r="S13" s="71">
        <f>'Los Angeles'!S13+Ontario!S13+'Orange County'!S13+Oakland!S13+Sacramento!S13+'San Diego'!S13+'San Jose'!S13+'San Francisco'!S13</f>
        <v>4251981</v>
      </c>
      <c r="T13" s="80">
        <f t="shared" si="5"/>
        <v>1.1103927897867401</v>
      </c>
      <c r="U13" s="80">
        <f t="shared" si="6"/>
        <v>-0.28838745986870595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34" customFormat="1" ht="25" customHeight="1" x14ac:dyDescent="0.25">
      <c r="A14" s="31" t="s">
        <v>11</v>
      </c>
      <c r="B14" s="63">
        <f t="shared" si="0"/>
        <v>0</v>
      </c>
      <c r="C14" s="63">
        <f t="shared" si="7"/>
        <v>12025771</v>
      </c>
      <c r="D14" s="63">
        <f t="shared" si="8"/>
        <v>4929772</v>
      </c>
      <c r="E14" s="63">
        <f t="shared" si="9"/>
        <v>19257968</v>
      </c>
      <c r="F14" s="76">
        <f t="shared" si="1"/>
        <v>-1</v>
      </c>
      <c r="G14" s="76">
        <f t="shared" si="2"/>
        <v>-1</v>
      </c>
      <c r="H14" s="32"/>
      <c r="I14" s="70">
        <f>'Los Angeles'!I14+Burbank!I14+'Long Beach'!I14+Ontario!I14+'Orange County'!I14+Oakland!I14+Sacramento!I14+'San Diego'!I14+'San Jose'!I14+'San Francisco'!I14</f>
        <v>0</v>
      </c>
      <c r="J14" s="70">
        <f>'Los Angeles'!J14+Burbank!J14+'Long Beach'!J14+Ontario!J14+'Orange County'!J14+Oakland!J14+Sacramento!J14+'San Diego'!J14+'San Jose'!J14+'San Francisco'!J14</f>
        <v>10857789</v>
      </c>
      <c r="K14" s="70">
        <f>'Los Angeles'!K14+Burbank!K14+'Long Beach'!K14+Ontario!K14+'Orange County'!K14+Oakland!K14+Sacramento!K14+'San Diego'!K14+'San Jose'!K14+'San Francisco'!K14</f>
        <v>4529101</v>
      </c>
      <c r="L14" s="70">
        <f>'Los Angeles'!L14+Burbank!L14+'Long Beach'!L14+Ontario!L14+'Orange County'!L14+Oakland!L14+Sacramento!L14+'San Diego'!L14+'San Jose'!L14+'San Francisco'!L14</f>
        <v>15609239</v>
      </c>
      <c r="M14" s="78">
        <f t="shared" si="3"/>
        <v>-1</v>
      </c>
      <c r="N14" s="78">
        <f t="shared" si="4"/>
        <v>-1</v>
      </c>
      <c r="O14" s="73"/>
      <c r="P14" s="70">
        <f>'Los Angeles'!P14+Ontario!P14+'Orange County'!P14+Oakland!P14+Sacramento!P14+'San Diego'!P14+'San Jose'!P14+'San Francisco'!P14</f>
        <v>0</v>
      </c>
      <c r="Q14" s="70">
        <f>'Los Angeles'!Q14+Ontario!Q14+'Orange County'!Q14+Oakland!Q14+Sacramento!Q14+'San Diego'!Q14+'San Jose'!Q14+'San Francisco'!Q14</f>
        <v>1167982</v>
      </c>
      <c r="R14" s="70">
        <f>'Los Angeles'!R14+Ontario!R14+'Orange County'!R14+Oakland!R14+Sacramento!R14+'San Diego'!R14+'San Jose'!R14+'San Francisco'!R14</f>
        <v>400671</v>
      </c>
      <c r="S14" s="70">
        <f>'Los Angeles'!S14+Ontario!S14+'Orange County'!S14+Oakland!S14+Sacramento!S14+'San Diego'!S14+'San Jose'!S14+'San Francisco'!S14</f>
        <v>3648729</v>
      </c>
      <c r="T14" s="78">
        <f t="shared" si="5"/>
        <v>-1</v>
      </c>
      <c r="U14" s="78">
        <f t="shared" si="6"/>
        <v>-1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5" customHeight="1" x14ac:dyDescent="0.25">
      <c r="A15" s="36" t="s">
        <v>12</v>
      </c>
      <c r="B15" s="64">
        <f t="shared" si="0"/>
        <v>0</v>
      </c>
      <c r="C15" s="64">
        <f t="shared" si="7"/>
        <v>13352132</v>
      </c>
      <c r="D15" s="64">
        <f t="shared" si="8"/>
        <v>5708888</v>
      </c>
      <c r="E15" s="64">
        <f t="shared" si="9"/>
        <v>20079531</v>
      </c>
      <c r="F15" s="77">
        <f t="shared" si="1"/>
        <v>-1</v>
      </c>
      <c r="G15" s="77">
        <f t="shared" si="2"/>
        <v>-1</v>
      </c>
      <c r="I15" s="72">
        <f>'Los Angeles'!I15+Burbank!I15+'Long Beach'!I15+Ontario!I15+'Orange County'!I15+Oakland!I15+Sacramento!I15+'San Diego'!I15+'San Jose'!I15+'San Francisco'!I15</f>
        <v>0</v>
      </c>
      <c r="J15" s="72">
        <f>'Los Angeles'!J15+Burbank!J15+'Long Beach'!J15+Ontario!J15+'Orange County'!J15+Oakland!J15+Sacramento!J15+'San Diego'!J15+'San Jose'!J15+'San Francisco'!J15</f>
        <v>12116903</v>
      </c>
      <c r="K15" s="50">
        <f>'Los Angeles'!K15+Burbank!K15+'Long Beach'!K15+Ontario!K15+'Orange County'!K15+Oakland!K15+Sacramento!K15+'San Diego'!K15+'San Jose'!K15+'San Francisco'!K15</f>
        <v>5226134</v>
      </c>
      <c r="L15" s="50">
        <f>'Los Angeles'!L15+Burbank!L15+'Long Beach'!L15+Ontario!L15+'Orange County'!L15+Oakland!L15+Sacramento!L15+'San Diego'!L15+'San Jose'!L15+'San Francisco'!L15</f>
        <v>16475684</v>
      </c>
      <c r="M15" s="79">
        <f t="shared" si="3"/>
        <v>-1</v>
      </c>
      <c r="N15" s="79">
        <f t="shared" si="4"/>
        <v>-1</v>
      </c>
      <c r="P15" s="71">
        <f>'Los Angeles'!P15+Ontario!P15+'Orange County'!P15+Oakland!P15+Sacramento!P15+'San Diego'!P15+'San Jose'!P15+'San Francisco'!P15</f>
        <v>0</v>
      </c>
      <c r="Q15" s="71">
        <f>'Los Angeles'!Q15+Ontario!Q15+'Orange County'!Q15+Oakland!Q15+Sacramento!Q15+'San Diego'!Q15+'San Jose'!Q15+'San Francisco'!Q15</f>
        <v>1235229</v>
      </c>
      <c r="R15" s="51">
        <f>'Los Angeles'!R15+Ontario!R15+'Orange County'!R15+Oakland!R15+Sacramento!R15+'San Diego'!R15+'San Jose'!R15+'San Francisco'!R15</f>
        <v>482754</v>
      </c>
      <c r="S15" s="51">
        <f>'Los Angeles'!S15+Ontario!S15+'Orange County'!S15+Oakland!S15+Sacramento!S15+'San Diego'!S15+'San Jose'!S15+'San Francisco'!S15</f>
        <v>3603847</v>
      </c>
      <c r="T15" s="80">
        <f t="shared" si="5"/>
        <v>-1</v>
      </c>
      <c r="U15" s="80">
        <f t="shared" si="6"/>
        <v>-1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5" customHeight="1" x14ac:dyDescent="0.25">
      <c r="A16" s="28" t="s">
        <v>13</v>
      </c>
      <c r="B16" s="63">
        <f t="shared" si="0"/>
        <v>0</v>
      </c>
      <c r="C16" s="63">
        <f t="shared" si="7"/>
        <v>13419904</v>
      </c>
      <c r="D16" s="63">
        <f t="shared" si="8"/>
        <v>5555678</v>
      </c>
      <c r="E16" s="63">
        <f t="shared" si="9"/>
        <v>18697443</v>
      </c>
      <c r="F16" s="76">
        <f t="shared" si="1"/>
        <v>-1</v>
      </c>
      <c r="G16" s="76">
        <f t="shared" si="2"/>
        <v>-1</v>
      </c>
      <c r="I16" s="70">
        <f>'Los Angeles'!I16+Burbank!I16+'Long Beach'!I16+Ontario!I16+'Orange County'!I16+Oakland!I16+Sacramento!I16+'San Diego'!I16+'San Jose'!I16+'San Francisco'!I16</f>
        <v>0</v>
      </c>
      <c r="J16" s="70">
        <f>'Los Angeles'!J16+Burbank!J16+'Long Beach'!J16+Ontario!J16+'Orange County'!J16+Oakland!J16+Sacramento!J16+'San Diego'!J16+'San Jose'!J16+'San Francisco'!J16</f>
        <v>11990391</v>
      </c>
      <c r="K16" s="49">
        <f>'Los Angeles'!K16+Burbank!K16+'Long Beach'!K16+Ontario!K16+'Orange County'!K16+Oakland!K16+Sacramento!K16+'San Diego'!K16+'San Jose'!K16+'San Francisco'!K16</f>
        <v>5013762</v>
      </c>
      <c r="L16" s="49">
        <f>'Los Angeles'!L16+Burbank!L16+'Long Beach'!L16+Ontario!L16+'Orange County'!L16+Oakland!L16+Sacramento!L16+'San Diego'!L16+'San Jose'!L16+'San Francisco'!L16</f>
        <v>15425279</v>
      </c>
      <c r="M16" s="78">
        <f t="shared" si="3"/>
        <v>-1</v>
      </c>
      <c r="N16" s="78">
        <f t="shared" si="4"/>
        <v>-1</v>
      </c>
      <c r="P16" s="70">
        <f>'Los Angeles'!P16+Ontario!P16+'Orange County'!P16+Oakland!P16+Sacramento!P16+'San Diego'!P16+'San Jose'!P16+'San Francisco'!P16</f>
        <v>0</v>
      </c>
      <c r="Q16" s="70">
        <f>'Los Angeles'!Q16+Ontario!Q16+'Orange County'!Q16+Oakland!Q16+Sacramento!Q16+'San Diego'!Q16+'San Jose'!Q16+'San Francisco'!Q16</f>
        <v>1429513</v>
      </c>
      <c r="R16" s="49">
        <f>'Los Angeles'!R16+Ontario!R16+'Orange County'!R16+Oakland!R16+Sacramento!R16+'San Diego'!R16+'San Jose'!R16+'San Francisco'!R16</f>
        <v>541916</v>
      </c>
      <c r="S16" s="49">
        <f>'Los Angeles'!S16+Ontario!S16+'Orange County'!S16+Oakland!S16+Sacramento!S16+'San Diego'!S16+'San Jose'!S16+'San Francisco'!S16</f>
        <v>3272164</v>
      </c>
      <c r="T16" s="78">
        <f t="shared" si="5"/>
        <v>-1</v>
      </c>
      <c r="U16" s="78">
        <f t="shared" si="6"/>
        <v>-1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5" customHeight="1" x14ac:dyDescent="0.25">
      <c r="A17" s="36" t="s">
        <v>14</v>
      </c>
      <c r="B17" s="64">
        <f t="shared" si="0"/>
        <v>0</v>
      </c>
      <c r="C17" s="64">
        <f t="shared" si="7"/>
        <v>13289438</v>
      </c>
      <c r="D17" s="64">
        <f t="shared" si="8"/>
        <v>5058307</v>
      </c>
      <c r="E17" s="64">
        <f t="shared" si="9"/>
        <v>20283913</v>
      </c>
      <c r="F17" s="77">
        <f t="shared" si="1"/>
        <v>-1</v>
      </c>
      <c r="G17" s="77">
        <f t="shared" si="2"/>
        <v>-1</v>
      </c>
      <c r="I17" s="72">
        <f>'Los Angeles'!I17+Burbank!I17+'Long Beach'!I17+Ontario!I17+'Orange County'!I17+Oakland!I17+Sacramento!I17+'San Diego'!I17+'San Jose'!I17+'San Francisco'!I17</f>
        <v>0</v>
      </c>
      <c r="J17" s="72">
        <f>'Los Angeles'!J17+Burbank!J17+'Long Beach'!J17+Ontario!J17+'Orange County'!J17+Oakland!J17+Sacramento!J17+'San Diego'!J17+'San Jose'!J17+'San Francisco'!J17</f>
        <v>11552997</v>
      </c>
      <c r="K17" s="50">
        <f>'Los Angeles'!K17+Burbank!K17+'Long Beach'!K17+Ontario!K17+'Orange County'!K17+Oakland!K17+Sacramento!K17+'San Diego'!K17+'San Jose'!K17+'San Francisco'!K17</f>
        <v>4454177</v>
      </c>
      <c r="L17" s="50">
        <f>'Los Angeles'!L17+Burbank!L17+'Long Beach'!L17+Ontario!L17+'Orange County'!L17+Oakland!L17+Sacramento!L17+'San Diego'!L17+'San Jose'!L17+'San Francisco'!L17</f>
        <v>16590213</v>
      </c>
      <c r="M17" s="79">
        <f t="shared" si="3"/>
        <v>-1</v>
      </c>
      <c r="N17" s="79">
        <f t="shared" si="4"/>
        <v>-1</v>
      </c>
      <c r="P17" s="71">
        <f>'Los Angeles'!P17+Ontario!P17+'Orange County'!P17+Oakland!P17+Sacramento!P17+'San Diego'!P17+'San Jose'!P17+'San Francisco'!P17</f>
        <v>0</v>
      </c>
      <c r="Q17" s="71">
        <f>'Los Angeles'!Q17+Ontario!Q17+'Orange County'!Q17+Oakland!Q17+Sacramento!Q17+'San Diego'!Q17+'San Jose'!Q17+'San Francisco'!Q17</f>
        <v>1736441</v>
      </c>
      <c r="R17" s="51">
        <f>'Los Angeles'!R17+Ontario!R17+'Orange County'!R17+Oakland!R17+Sacramento!R17+'San Diego'!R17+'San Jose'!R17+'San Francisco'!R17</f>
        <v>604130</v>
      </c>
      <c r="S17" s="51">
        <f>'Los Angeles'!S17+Ontario!S17+'Orange County'!S17+Oakland!S17+Sacramento!S17+'San Diego'!S17+'San Jose'!S17+'San Francisco'!S17</f>
        <v>3693700</v>
      </c>
      <c r="T17" s="80">
        <f t="shared" si="5"/>
        <v>-1</v>
      </c>
      <c r="U17" s="80">
        <f t="shared" si="6"/>
        <v>-1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25" customHeight="1" x14ac:dyDescent="0.25">
      <c r="A18" s="28" t="s">
        <v>51</v>
      </c>
      <c r="B18" s="65">
        <f>SUM(B6:B13)</f>
        <v>123810209</v>
      </c>
      <c r="C18" s="65">
        <f>SUM(C6:C13)</f>
        <v>73541278</v>
      </c>
      <c r="D18" s="65">
        <f t="shared" ref="C18:E18" si="10">SUM(D6:D13)</f>
        <v>57464559</v>
      </c>
      <c r="E18" s="65">
        <f>SUM(E6:E13)</f>
        <v>160400866</v>
      </c>
      <c r="F18" s="76">
        <f t="shared" si="1"/>
        <v>0.68354715021406065</v>
      </c>
      <c r="G18" s="76">
        <f t="shared" si="2"/>
        <v>-0.22812007137168444</v>
      </c>
      <c r="I18" s="65">
        <f>SUM(I6:I13)</f>
        <v>105826717</v>
      </c>
      <c r="J18" s="65">
        <f t="shared" ref="J18:L18" si="11">SUM(J6:J13)</f>
        <v>66548706</v>
      </c>
      <c r="K18" s="65">
        <f t="shared" si="11"/>
        <v>48792058</v>
      </c>
      <c r="L18" s="65">
        <f t="shared" si="11"/>
        <v>130191666</v>
      </c>
      <c r="M18" s="76">
        <f>I18/J18-1</f>
        <v>0.59021449643213209</v>
      </c>
      <c r="N18" s="76">
        <f>I18/L18-1</f>
        <v>-0.18714676406399167</v>
      </c>
      <c r="P18" s="65">
        <f>SUM(P6:P13)</f>
        <v>17983492</v>
      </c>
      <c r="Q18" s="65">
        <f>SUM(Q6:Q13)</f>
        <v>6992572</v>
      </c>
      <c r="R18" s="65">
        <f t="shared" ref="Q18:S18" si="12">SUM(R6:R13)</f>
        <v>8672501</v>
      </c>
      <c r="S18" s="65">
        <f t="shared" si="12"/>
        <v>30209200</v>
      </c>
      <c r="T18" s="76">
        <f>P18/Q18-1</f>
        <v>1.5717993322056607</v>
      </c>
      <c r="U18" s="76">
        <f t="shared" si="6"/>
        <v>-0.40470148166783626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25">
      <c r="D19" s="56" t="s">
        <v>48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5">
      <c r="A20" s="26" t="s">
        <v>46</v>
      </c>
      <c r="L20" s="29"/>
      <c r="M20" s="67"/>
      <c r="R20" s="29"/>
      <c r="S20" s="29"/>
      <c r="T20" s="2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5">
      <c r="A21" s="26" t="s">
        <v>49</v>
      </c>
      <c r="R21" s="29"/>
      <c r="S21" s="35"/>
      <c r="T21" s="35"/>
    </row>
    <row r="23" spans="1:59" x14ac:dyDescent="0.25">
      <c r="D23" s="66"/>
      <c r="E23" s="66"/>
      <c r="F23" s="66"/>
      <c r="G23" s="66"/>
    </row>
  </sheetData>
  <mergeCells count="4">
    <mergeCell ref="A1:U1"/>
    <mergeCell ref="B3:G3"/>
    <mergeCell ref="I3:N3"/>
    <mergeCell ref="P3:U3"/>
  </mergeCells>
  <phoneticPr fontId="17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AS23"/>
  <sheetViews>
    <sheetView topLeftCell="C1" zoomScaleNormal="100" zoomScaleSheetLayoutView="93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3" t="s">
        <v>16</v>
      </c>
      <c r="Q3" s="93"/>
      <c r="R3" s="93"/>
      <c r="S3" s="93"/>
      <c r="T3" s="93"/>
      <c r="U3" s="94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v>557678</v>
      </c>
      <c r="C6" s="63">
        <f t="shared" ref="C6:E7" si="0">SUM(J6,Q6)</f>
        <v>208423</v>
      </c>
      <c r="D6" s="63">
        <f t="shared" si="0"/>
        <v>1179211</v>
      </c>
      <c r="E6" s="63">
        <f t="shared" si="0"/>
        <v>1083500</v>
      </c>
      <c r="F6" s="76">
        <f>B6/C6-1</f>
        <v>1.6757027775245534</v>
      </c>
      <c r="G6" s="76">
        <f>B6/E6-1</f>
        <v>-0.48529949238578685</v>
      </c>
      <c r="I6" s="49">
        <f>225980+241738+22904+22904</f>
        <v>513526</v>
      </c>
      <c r="J6" s="49">
        <f>79908+84587+8001+8001</f>
        <v>180497</v>
      </c>
      <c r="K6" s="49">
        <f>497019+519233+41542+41542</f>
        <v>1099336</v>
      </c>
      <c r="L6" s="49">
        <f>461226+488201+31731+31731</f>
        <v>1012889</v>
      </c>
      <c r="M6" s="78">
        <f>I6/J6-1</f>
        <v>1.8450666770084823</v>
      </c>
      <c r="N6" s="78">
        <f>I6/L6-1</f>
        <v>-0.49300861199993284</v>
      </c>
      <c r="P6" s="49">
        <f>B6-I6</f>
        <v>44152</v>
      </c>
      <c r="Q6" s="49">
        <f>10279+17647</f>
        <v>27926</v>
      </c>
      <c r="R6" s="49">
        <f>37096+42779</f>
        <v>79875</v>
      </c>
      <c r="S6" s="49">
        <f>32130+38373+54+54</f>
        <v>70611</v>
      </c>
      <c r="T6" s="78">
        <f>P6/Q6-1</f>
        <v>0.58103559407004224</v>
      </c>
      <c r="U6" s="78">
        <f>P6/S6-1</f>
        <v>-0.37471498774978407</v>
      </c>
    </row>
    <row r="7" spans="1:45" x14ac:dyDescent="0.25">
      <c r="A7" s="36" t="s">
        <v>4</v>
      </c>
      <c r="B7" s="64">
        <v>613361</v>
      </c>
      <c r="C7" s="64">
        <f t="shared" si="0"/>
        <v>217278</v>
      </c>
      <c r="D7" s="64">
        <f t="shared" si="0"/>
        <v>1084289</v>
      </c>
      <c r="E7" s="64">
        <f t="shared" si="0"/>
        <v>1023762</v>
      </c>
      <c r="F7" s="77">
        <f t="shared" ref="F7:F17" si="1">B7/C7-1</f>
        <v>1.8229319121125931</v>
      </c>
      <c r="G7" s="77">
        <f t="shared" ref="G7:G17" si="2">B7/E7-1</f>
        <v>-0.40087539877432454</v>
      </c>
      <c r="I7" s="50">
        <f>264236+260697+27254+27254</f>
        <v>579441</v>
      </c>
      <c r="J7" s="50">
        <f>94509+93254+8202+8202</f>
        <v>204167</v>
      </c>
      <c r="K7" s="50">
        <f>474217+470968+41056+41056</f>
        <v>1027297</v>
      </c>
      <c r="L7" s="50">
        <f>451589+451879+31709+31709</f>
        <v>966886</v>
      </c>
      <c r="M7" s="79">
        <f t="shared" ref="M7:M17" si="3">I7/J7-1</f>
        <v>1.8380737337571693</v>
      </c>
      <c r="N7" s="79">
        <f t="shared" ref="N7:N18" si="4">I7/L7-1</f>
        <v>-0.40071425173184838</v>
      </c>
      <c r="P7" s="51">
        <f>B7-I7</f>
        <v>33920</v>
      </c>
      <c r="Q7" s="51">
        <f>5212+7899</f>
        <v>13111</v>
      </c>
      <c r="R7" s="51">
        <f>26796+30196</f>
        <v>56992</v>
      </c>
      <c r="S7" s="51">
        <f>27736+29102+19+19</f>
        <v>56876</v>
      </c>
      <c r="T7" s="80">
        <f t="shared" ref="T7:T17" si="5">P7/Q7-1</f>
        <v>1.5871405689878726</v>
      </c>
      <c r="U7" s="80">
        <f t="shared" ref="U7:U18" si="6">P7/S7-1</f>
        <v>-0.40361488149658908</v>
      </c>
    </row>
    <row r="8" spans="1:45" x14ac:dyDescent="0.25">
      <c r="A8" s="28" t="s">
        <v>5</v>
      </c>
      <c r="B8" s="63">
        <f>I8+P8</f>
        <v>827144</v>
      </c>
      <c r="C8" s="63">
        <f>J8+Q8</f>
        <v>224218</v>
      </c>
      <c r="D8" s="63">
        <f t="shared" ref="D8:D13" si="7">K8+R8</f>
        <v>508110</v>
      </c>
      <c r="E8" s="63">
        <f t="shared" ref="E8:E17" si="8">SUM(L8,S8)</f>
        <v>1226670</v>
      </c>
      <c r="F8" s="76">
        <f t="shared" si="1"/>
        <v>2.6890169388719904</v>
      </c>
      <c r="G8" s="76">
        <f t="shared" si="2"/>
        <v>-0.32569965842484128</v>
      </c>
      <c r="I8" s="49">
        <f>355624+347930+40664+40664</f>
        <v>784882</v>
      </c>
      <c r="J8" s="49">
        <f>156854+15033+21608+21608</f>
        <v>215103</v>
      </c>
      <c r="K8" s="49">
        <f>203405+213071+28205+28205</f>
        <v>472886</v>
      </c>
      <c r="L8" s="49">
        <f>544233+538518+41982+41982</f>
        <v>1166715</v>
      </c>
      <c r="M8" s="78">
        <f t="shared" si="3"/>
        <v>2.6488658921539914</v>
      </c>
      <c r="N8" s="78">
        <f t="shared" si="4"/>
        <v>-0.32727187016537884</v>
      </c>
      <c r="P8" s="49">
        <f>23071+19191</f>
        <v>42262</v>
      </c>
      <c r="Q8" s="49">
        <f>4348+4767</f>
        <v>9115</v>
      </c>
      <c r="R8" s="49">
        <f>15732+19466+13+13</f>
        <v>35224</v>
      </c>
      <c r="S8" s="49">
        <f>29350+30253+176+176</f>
        <v>59955</v>
      </c>
      <c r="T8" s="78">
        <f t="shared" si="5"/>
        <v>3.6365331870543063</v>
      </c>
      <c r="U8" s="78">
        <f t="shared" si="6"/>
        <v>-0.29510466182970563</v>
      </c>
    </row>
    <row r="9" spans="1:45" x14ac:dyDescent="0.25">
      <c r="A9" s="36" t="s">
        <v>6</v>
      </c>
      <c r="B9" s="64">
        <f t="shared" ref="B9:B13" si="9">I9+P9</f>
        <v>972626</v>
      </c>
      <c r="C9" s="64">
        <f t="shared" ref="C9:C12" si="10">J9+Q9</f>
        <v>465552</v>
      </c>
      <c r="D9" s="64">
        <f t="shared" si="7"/>
        <v>37556</v>
      </c>
      <c r="E9" s="64">
        <f t="shared" si="8"/>
        <v>1298177</v>
      </c>
      <c r="F9" s="77">
        <f t="shared" si="1"/>
        <v>1.0891887479808915</v>
      </c>
      <c r="G9" s="77">
        <f t="shared" si="2"/>
        <v>-0.25077551058137681</v>
      </c>
      <c r="I9" s="50">
        <f>422282+425609+40290+40290</f>
        <v>928471</v>
      </c>
      <c r="J9" s="50">
        <f>206426+205878+16085+16085</f>
        <v>444474</v>
      </c>
      <c r="K9" s="50">
        <f>16178+16147+1408+1408</f>
        <v>35141</v>
      </c>
      <c r="L9" s="50">
        <f>566876+577106+40722+40722</f>
        <v>1225426</v>
      </c>
      <c r="M9" s="79">
        <f t="shared" si="3"/>
        <v>1.088920836764355</v>
      </c>
      <c r="N9" s="79">
        <f t="shared" si="4"/>
        <v>-0.24232797410859575</v>
      </c>
      <c r="P9" s="51">
        <f>21006+23149</f>
        <v>44155</v>
      </c>
      <c r="Q9" s="51">
        <f>10368+10710</f>
        <v>21078</v>
      </c>
      <c r="R9" s="51">
        <f>1046+1369</f>
        <v>2415</v>
      </c>
      <c r="S9" s="51">
        <f>37032+35461+129+129</f>
        <v>72751</v>
      </c>
      <c r="T9" s="80">
        <f t="shared" si="5"/>
        <v>1.0948382199449664</v>
      </c>
      <c r="U9" s="80">
        <f t="shared" si="6"/>
        <v>-0.39306676196890766</v>
      </c>
    </row>
    <row r="10" spans="1:45" x14ac:dyDescent="0.25">
      <c r="A10" s="28" t="s">
        <v>7</v>
      </c>
      <c r="B10" s="63">
        <f t="shared" si="9"/>
        <v>1009203</v>
      </c>
      <c r="C10" s="63">
        <f t="shared" si="10"/>
        <v>589554</v>
      </c>
      <c r="D10" s="63">
        <f t="shared" si="7"/>
        <v>79600</v>
      </c>
      <c r="E10" s="63">
        <f t="shared" si="8"/>
        <v>1360317</v>
      </c>
      <c r="F10" s="76">
        <f t="shared" si="1"/>
        <v>0.71180756979004478</v>
      </c>
      <c r="G10" s="76">
        <f t="shared" si="2"/>
        <v>-0.25811189597718764</v>
      </c>
      <c r="I10" s="49">
        <f>429827+437039+48160+48160</f>
        <v>963186</v>
      </c>
      <c r="J10" s="49">
        <f>259654+257831+17775+17775</f>
        <v>553035</v>
      </c>
      <c r="K10" s="49">
        <f>37490+37688+2211+2211</f>
        <v>79600</v>
      </c>
      <c r="L10" s="49">
        <f>595164+600267+45194+45194</f>
        <v>1285819</v>
      </c>
      <c r="M10" s="78">
        <f t="shared" si="3"/>
        <v>0.7416366052781469</v>
      </c>
      <c r="N10" s="78">
        <f t="shared" si="4"/>
        <v>-0.25091634203569868</v>
      </c>
      <c r="P10" s="49">
        <f>21988+24029</f>
        <v>46017</v>
      </c>
      <c r="Q10" s="49">
        <f>17981+18538</f>
        <v>36519</v>
      </c>
      <c r="R10" s="49">
        <v>0</v>
      </c>
      <c r="S10" s="49">
        <f>37350+36694+227+227</f>
        <v>74498</v>
      </c>
      <c r="T10" s="78">
        <f t="shared" si="5"/>
        <v>0.26008379199868559</v>
      </c>
      <c r="U10" s="78">
        <f t="shared" si="6"/>
        <v>-0.38230556525007386</v>
      </c>
    </row>
    <row r="11" spans="1:45" x14ac:dyDescent="0.25">
      <c r="A11" s="36" t="s">
        <v>8</v>
      </c>
      <c r="B11" s="64">
        <f t="shared" si="9"/>
        <v>1072782</v>
      </c>
      <c r="C11" s="64">
        <f>J11+Q11</f>
        <v>756135</v>
      </c>
      <c r="D11" s="64">
        <f t="shared" si="7"/>
        <v>193032</v>
      </c>
      <c r="E11" s="64">
        <f t="shared" si="8"/>
        <v>1411057</v>
      </c>
      <c r="F11" s="77">
        <f t="shared" si="1"/>
        <v>0.41877045765637089</v>
      </c>
      <c r="G11" s="77">
        <f t="shared" si="2"/>
        <v>-0.23973163380359541</v>
      </c>
      <c r="I11" s="50">
        <f>462558+438840+67078+67078</f>
        <v>1035554</v>
      </c>
      <c r="J11" s="50">
        <f>339961+326816+23002+23002</f>
        <v>712781</v>
      </c>
      <c r="K11" s="50">
        <f>86538+83179+10058+10058</f>
        <v>189833</v>
      </c>
      <c r="L11" s="50">
        <f>625967+607876+47056+47056</f>
        <v>1327955</v>
      </c>
      <c r="M11" s="79">
        <f t="shared" si="3"/>
        <v>0.45283614462226129</v>
      </c>
      <c r="N11" s="79">
        <f t="shared" si="4"/>
        <v>-0.22018893712512844</v>
      </c>
      <c r="P11" s="51">
        <f>19941+17287</f>
        <v>37228</v>
      </c>
      <c r="Q11" s="51">
        <f>21603+21751</f>
        <v>43354</v>
      </c>
      <c r="R11" s="51">
        <f>1726+1473</f>
        <v>3199</v>
      </c>
      <c r="S11" s="51">
        <f>44404+38560+69+69</f>
        <v>83102</v>
      </c>
      <c r="T11" s="80">
        <f t="shared" si="5"/>
        <v>-0.14130184066060802</v>
      </c>
      <c r="U11" s="80">
        <f t="shared" si="6"/>
        <v>-0.5520204086544247</v>
      </c>
    </row>
    <row r="12" spans="1:45" x14ac:dyDescent="0.25">
      <c r="A12" s="28" t="s">
        <v>9</v>
      </c>
      <c r="B12" s="63">
        <f t="shared" si="9"/>
        <v>1126833</v>
      </c>
      <c r="C12" s="63">
        <f t="shared" si="10"/>
        <v>818268</v>
      </c>
      <c r="D12" s="63">
        <f t="shared" si="7"/>
        <v>268369</v>
      </c>
      <c r="E12" s="63">
        <f t="shared" si="8"/>
        <v>1489363</v>
      </c>
      <c r="F12" s="76">
        <f t="shared" si="1"/>
        <v>0.37709527929724729</v>
      </c>
      <c r="G12" s="76">
        <f t="shared" si="2"/>
        <v>-0.24341278788314202</v>
      </c>
      <c r="I12" s="49">
        <f>466763+468609+75856+75856</f>
        <v>1087084</v>
      </c>
      <c r="J12" s="49">
        <f>365497+362577+23385+23385</f>
        <v>774844</v>
      </c>
      <c r="K12" s="49">
        <f>111353+109231+16537+16537</f>
        <v>253658</v>
      </c>
      <c r="L12" s="49">
        <f>671244+678564+52465+3919</f>
        <v>1406192</v>
      </c>
      <c r="M12" s="78">
        <f t="shared" si="3"/>
        <v>0.40297143683115566</v>
      </c>
      <c r="N12" s="78">
        <f t="shared" si="4"/>
        <v>-0.22693060407113685</v>
      </c>
      <c r="P12" s="49">
        <f>18304+21445</f>
        <v>39749</v>
      </c>
      <c r="Q12" s="49">
        <f>20756+22668</f>
        <v>43424</v>
      </c>
      <c r="R12" s="49">
        <f>7476+7235</f>
        <v>14711</v>
      </c>
      <c r="S12" s="49">
        <f>39700+43471</f>
        <v>83171</v>
      </c>
      <c r="T12" s="78">
        <f t="shared" si="5"/>
        <v>-8.4630619012527664E-2</v>
      </c>
      <c r="U12" s="78">
        <f t="shared" si="6"/>
        <v>-0.52208101381491145</v>
      </c>
    </row>
    <row r="13" spans="1:45" x14ac:dyDescent="0.25">
      <c r="A13" s="36" t="s">
        <v>10</v>
      </c>
      <c r="B13" s="64">
        <f t="shared" si="9"/>
        <v>1091933</v>
      </c>
      <c r="C13" s="64">
        <f>J13+Q13</f>
        <v>756358</v>
      </c>
      <c r="D13" s="64">
        <f t="shared" si="7"/>
        <v>264855</v>
      </c>
      <c r="E13" s="64">
        <f t="shared" si="8"/>
        <v>1461045</v>
      </c>
      <c r="F13" s="77">
        <f t="shared" si="1"/>
        <v>0.44367217640323764</v>
      </c>
      <c r="G13" s="77">
        <f t="shared" si="2"/>
        <v>-0.25263561355057507</v>
      </c>
      <c r="I13" s="50">
        <f>444647+457937+77620+77620</f>
        <v>1057824</v>
      </c>
      <c r="J13" s="50">
        <f>332014+346255+21834+21834</f>
        <v>721937</v>
      </c>
      <c r="K13" s="50">
        <f>112191+110278+10295+10295</f>
        <v>243059</v>
      </c>
      <c r="L13" s="50">
        <f>671414+660863+47006+3701</f>
        <v>1382984</v>
      </c>
      <c r="M13" s="79">
        <f t="shared" si="3"/>
        <v>0.46525804883251576</v>
      </c>
      <c r="N13" s="79">
        <f t="shared" si="4"/>
        <v>-0.23511479525431966</v>
      </c>
      <c r="P13" s="51">
        <f>15626+18483</f>
        <v>34109</v>
      </c>
      <c r="Q13" s="51">
        <f>14584+19837</f>
        <v>34421</v>
      </c>
      <c r="R13" s="51">
        <f>9326+12470</f>
        <v>21796</v>
      </c>
      <c r="S13" s="51">
        <f>36642+41419</f>
        <v>78061</v>
      </c>
      <c r="T13" s="80">
        <f t="shared" si="5"/>
        <v>-9.0642340431713597E-3</v>
      </c>
      <c r="U13" s="80">
        <f t="shared" si="6"/>
        <v>-0.56304684797786342</v>
      </c>
    </row>
    <row r="14" spans="1:45" s="34" customFormat="1" x14ac:dyDescent="0.25">
      <c r="A14" s="31" t="s">
        <v>11</v>
      </c>
      <c r="B14" s="31"/>
      <c r="C14" s="63">
        <f>J14+Q14</f>
        <v>722964</v>
      </c>
      <c r="D14" s="63">
        <v>262876</v>
      </c>
      <c r="E14" s="63">
        <f t="shared" si="8"/>
        <v>1358465</v>
      </c>
      <c r="F14" s="76">
        <f t="shared" si="1"/>
        <v>-1</v>
      </c>
      <c r="G14" s="76">
        <f t="shared" si="2"/>
        <v>-1</v>
      </c>
      <c r="H14" s="26"/>
      <c r="I14" s="49"/>
      <c r="J14" s="49">
        <f>327167+323388+22373+22373</f>
        <v>695301</v>
      </c>
      <c r="K14" s="49">
        <f>D14-R14</f>
        <v>244454</v>
      </c>
      <c r="L14" s="49">
        <f>596078+602228+47338+47338</f>
        <v>1292982</v>
      </c>
      <c r="M14" s="78">
        <f t="shared" si="3"/>
        <v>-1</v>
      </c>
      <c r="N14" s="78">
        <f t="shared" si="4"/>
        <v>-1</v>
      </c>
      <c r="O14" s="33"/>
      <c r="P14" s="49"/>
      <c r="Q14" s="49">
        <f>13547+14116</f>
        <v>27663</v>
      </c>
      <c r="R14" s="49">
        <f>9431+8991</f>
        <v>18422</v>
      </c>
      <c r="S14" s="49">
        <f>32149+33334</f>
        <v>65483</v>
      </c>
      <c r="T14" s="78">
        <f>P14/Q14-1</f>
        <v>-1</v>
      </c>
      <c r="U14" s="78">
        <f t="shared" si="6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f>J15+Q15</f>
        <v>821191</v>
      </c>
      <c r="D15" s="64">
        <v>287552</v>
      </c>
      <c r="E15" s="64">
        <f t="shared" si="8"/>
        <v>1379881</v>
      </c>
      <c r="F15" s="77">
        <f t="shared" si="1"/>
        <v>-1</v>
      </c>
      <c r="G15" s="77">
        <f t="shared" si="2"/>
        <v>-1</v>
      </c>
      <c r="I15" s="50"/>
      <c r="J15" s="50">
        <f>365300+366113+26767+26767</f>
        <v>784947</v>
      </c>
      <c r="K15" s="50">
        <f>D15-R15</f>
        <v>268322</v>
      </c>
      <c r="L15" s="50">
        <f>614123+603590+46779+46779</f>
        <v>1311271</v>
      </c>
      <c r="M15" s="79">
        <f t="shared" si="3"/>
        <v>-1</v>
      </c>
      <c r="N15" s="79">
        <f t="shared" si="4"/>
        <v>-1</v>
      </c>
      <c r="P15" s="51"/>
      <c r="Q15" s="51">
        <f>18475+17769</f>
        <v>36244</v>
      </c>
      <c r="R15" s="51">
        <f>9707+9523</f>
        <v>19230</v>
      </c>
      <c r="S15" s="51">
        <f>35245+33093+136+136</f>
        <v>68610</v>
      </c>
      <c r="T15" s="80">
        <f t="shared" si="5"/>
        <v>-1</v>
      </c>
      <c r="U15" s="80">
        <f t="shared" si="6"/>
        <v>-1</v>
      </c>
    </row>
    <row r="16" spans="1:45" x14ac:dyDescent="0.25">
      <c r="A16" s="28" t="s">
        <v>13</v>
      </c>
      <c r="B16" s="28"/>
      <c r="C16" s="74">
        <f>J16+Q16</f>
        <v>828775</v>
      </c>
      <c r="D16" s="63">
        <f>K16+R16</f>
        <v>301980</v>
      </c>
      <c r="E16" s="63">
        <f t="shared" si="8"/>
        <v>1278689</v>
      </c>
      <c r="F16" s="76">
        <f t="shared" si="1"/>
        <v>-1</v>
      </c>
      <c r="G16" s="76">
        <f t="shared" si="2"/>
        <v>-1</v>
      </c>
      <c r="I16" s="49"/>
      <c r="J16" s="49">
        <f>368176+367122+26056+26056</f>
        <v>787410</v>
      </c>
      <c r="K16" s="49">
        <f>128791+130662+9540+9540</f>
        <v>278533</v>
      </c>
      <c r="L16" s="49">
        <f>572711+567370+37309+37309</f>
        <v>1214699</v>
      </c>
      <c r="M16" s="78">
        <f t="shared" si="3"/>
        <v>-1</v>
      </c>
      <c r="N16" s="78">
        <f t="shared" si="4"/>
        <v>-1</v>
      </c>
      <c r="P16" s="49"/>
      <c r="Q16" s="49">
        <f>21720+19645</f>
        <v>41365</v>
      </c>
      <c r="R16" s="49">
        <f>12482+10965</f>
        <v>23447</v>
      </c>
      <c r="S16" s="49">
        <f>33353+30383+127+127</f>
        <v>63990</v>
      </c>
      <c r="T16" s="78">
        <f t="shared" si="5"/>
        <v>-1</v>
      </c>
      <c r="U16" s="78">
        <f t="shared" si="6"/>
        <v>-1</v>
      </c>
    </row>
    <row r="17" spans="1:21" x14ac:dyDescent="0.25">
      <c r="A17" s="36" t="s">
        <v>14</v>
      </c>
      <c r="B17" s="36"/>
      <c r="C17" s="64">
        <f>J17+Q17</f>
        <v>813425</v>
      </c>
      <c r="D17" s="64">
        <f>K17+R17</f>
        <v>244147</v>
      </c>
      <c r="E17" s="64">
        <f t="shared" si="8"/>
        <v>1368656</v>
      </c>
      <c r="F17" s="77">
        <f t="shared" si="1"/>
        <v>-1</v>
      </c>
      <c r="G17" s="77">
        <f t="shared" si="2"/>
        <v>-1</v>
      </c>
      <c r="I17" s="50"/>
      <c r="J17" s="50">
        <f>358553+349800+28867+28867</f>
        <v>766087</v>
      </c>
      <c r="K17" s="50">
        <f>99082+92448+10003+10003</f>
        <v>211536</v>
      </c>
      <c r="L17" s="50">
        <f>607531+595736+43887+43887</f>
        <v>1291041</v>
      </c>
      <c r="M17" s="79">
        <f t="shared" si="3"/>
        <v>-1</v>
      </c>
      <c r="N17" s="79">
        <f t="shared" si="4"/>
        <v>-1</v>
      </c>
      <c r="P17" s="51"/>
      <c r="Q17" s="51">
        <f>27705+19633</f>
        <v>47338</v>
      </c>
      <c r="R17" s="51">
        <f>18956+13655</f>
        <v>32611</v>
      </c>
      <c r="S17" s="51">
        <f>42188+35339+88</f>
        <v>77615</v>
      </c>
      <c r="T17" s="80">
        <f t="shared" si="5"/>
        <v>-1</v>
      </c>
      <c r="U17" s="80">
        <f t="shared" si="6"/>
        <v>-1</v>
      </c>
    </row>
    <row r="18" spans="1:21" x14ac:dyDescent="0.25">
      <c r="A18" s="28" t="s">
        <v>35</v>
      </c>
      <c r="B18" s="65">
        <f>SUM(B6:B13)</f>
        <v>7271560</v>
      </c>
      <c r="C18" s="65">
        <f t="shared" ref="C18:E18" si="11">SUM(C6:C13)</f>
        <v>4035786</v>
      </c>
      <c r="D18" s="65">
        <f t="shared" si="11"/>
        <v>3615022</v>
      </c>
      <c r="E18" s="65">
        <f t="shared" si="11"/>
        <v>10353891</v>
      </c>
      <c r="F18" s="76">
        <f>B18/C18-1</f>
        <v>0.80177046057447043</v>
      </c>
      <c r="G18" s="76">
        <f>B18/E18-1</f>
        <v>-0.29769784132361443</v>
      </c>
      <c r="I18" s="65">
        <f>SUM(I6:I13)</f>
        <v>6949968</v>
      </c>
      <c r="J18" s="65">
        <f t="shared" ref="J18:L18" si="12">SUM(J6:J13)</f>
        <v>3806838</v>
      </c>
      <c r="K18" s="65">
        <f t="shared" si="12"/>
        <v>3400810</v>
      </c>
      <c r="L18" s="65">
        <f t="shared" si="12"/>
        <v>9774866</v>
      </c>
      <c r="M18" s="76">
        <f>I18/J18-1</f>
        <v>0.82565373152206645</v>
      </c>
      <c r="N18" s="76">
        <f t="shared" si="4"/>
        <v>-0.28899608444760261</v>
      </c>
      <c r="P18" s="65">
        <f>SUM(P6:P13)</f>
        <v>321592</v>
      </c>
      <c r="Q18" s="65">
        <f t="shared" ref="Q18:S18" si="13">SUM(Q6:Q13)</f>
        <v>228948</v>
      </c>
      <c r="R18" s="65">
        <f t="shared" si="13"/>
        <v>214212</v>
      </c>
      <c r="S18" s="65">
        <f t="shared" si="13"/>
        <v>579025</v>
      </c>
      <c r="T18" s="76">
        <f>P18/Q18-1</f>
        <v>0.40465083774481547</v>
      </c>
      <c r="U18" s="76">
        <f t="shared" si="6"/>
        <v>-0.44459738353266265</v>
      </c>
    </row>
    <row r="20" spans="1:21" x14ac:dyDescent="0.25">
      <c r="A20" s="30" t="s">
        <v>41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AS23"/>
  <sheetViews>
    <sheetView zoomScaleNormal="100" zoomScaleSheetLayoutView="100" workbookViewId="0">
      <selection activeCell="J22" sqref="J22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95" t="s">
        <v>15</v>
      </c>
      <c r="J3" s="95"/>
      <c r="K3" s="95"/>
      <c r="L3" s="95"/>
      <c r="M3" s="95"/>
      <c r="N3" s="96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f t="shared" ref="B6:E13" si="0">SUM(I6,P6)</f>
        <v>2087440</v>
      </c>
      <c r="C6" s="63">
        <f t="shared" si="0"/>
        <v>769908</v>
      </c>
      <c r="D6" s="63">
        <f t="shared" si="0"/>
        <v>4237162</v>
      </c>
      <c r="E6" s="63">
        <f t="shared" si="0"/>
        <v>4151715</v>
      </c>
      <c r="F6" s="76">
        <f>B6/C6-1</f>
        <v>1.7112849846994704</v>
      </c>
      <c r="G6" s="76">
        <f>B6/E6-1</f>
        <v>-0.49721018904235958</v>
      </c>
      <c r="I6" s="49">
        <v>1677788</v>
      </c>
      <c r="J6" s="49">
        <v>628767</v>
      </c>
      <c r="K6" s="49">
        <v>3038185</v>
      </c>
      <c r="L6" s="49">
        <v>3006978</v>
      </c>
      <c r="M6" s="78">
        <f>I6/J6-1</f>
        <v>1.6683779524052631</v>
      </c>
      <c r="N6" s="78">
        <f>I6/L6-1</f>
        <v>-0.44203515955221484</v>
      </c>
      <c r="P6" s="49">
        <v>409652</v>
      </c>
      <c r="Q6" s="49">
        <v>141141</v>
      </c>
      <c r="R6" s="49">
        <v>1198977</v>
      </c>
      <c r="S6" s="49">
        <v>1144737</v>
      </c>
      <c r="T6" s="78">
        <f>P6/Q6-1</f>
        <v>1.9024309024309023</v>
      </c>
      <c r="U6" s="78">
        <f>P6/S6-1</f>
        <v>-0.64214312981933841</v>
      </c>
    </row>
    <row r="7" spans="1:45" x14ac:dyDescent="0.25">
      <c r="A7" s="36" t="s">
        <v>4</v>
      </c>
      <c r="B7" s="64">
        <f t="shared" si="0"/>
        <v>2252900</v>
      </c>
      <c r="C7" s="64">
        <f t="shared" si="0"/>
        <v>736203</v>
      </c>
      <c r="D7" s="64">
        <f t="shared" si="0"/>
        <v>3739287</v>
      </c>
      <c r="E7" s="64">
        <f t="shared" si="0"/>
        <v>3749553</v>
      </c>
      <c r="F7" s="77">
        <f t="shared" ref="F7:F17" si="1">B7/C7-1</f>
        <v>2.0601613957020009</v>
      </c>
      <c r="G7" s="77">
        <f t="shared" ref="G7:G17" si="2">B7/E7-1</f>
        <v>-0.39915504594814366</v>
      </c>
      <c r="I7" s="50">
        <v>1898640</v>
      </c>
      <c r="J7" s="50">
        <v>642790</v>
      </c>
      <c r="K7" s="50">
        <v>2870789</v>
      </c>
      <c r="L7" s="50">
        <v>2762567</v>
      </c>
      <c r="M7" s="79">
        <f t="shared" ref="M7:M17" si="3">I7/J7-1</f>
        <v>1.953748502621385</v>
      </c>
      <c r="N7" s="79">
        <f t="shared" ref="N7:N17" si="4">I7/L7-1</f>
        <v>-0.3127261709851743</v>
      </c>
      <c r="P7" s="51">
        <v>354260</v>
      </c>
      <c r="Q7" s="51">
        <v>93413</v>
      </c>
      <c r="R7" s="51">
        <v>868498</v>
      </c>
      <c r="S7" s="51">
        <v>986986</v>
      </c>
      <c r="T7" s="80">
        <f t="shared" ref="T7:T17" si="5">P7/Q7-1</f>
        <v>2.7924057679337992</v>
      </c>
      <c r="U7" s="80">
        <f t="shared" ref="U7:U18" si="6">P7/S7-1</f>
        <v>-0.64106887027779524</v>
      </c>
    </row>
    <row r="8" spans="1:45" x14ac:dyDescent="0.25">
      <c r="A8" s="28" t="s">
        <v>5</v>
      </c>
      <c r="B8" s="63">
        <f t="shared" si="0"/>
        <v>3088199</v>
      </c>
      <c r="C8" s="63">
        <f>SUM(J8,Q8)</f>
        <v>1159844</v>
      </c>
      <c r="D8" s="63">
        <f>SUM(K8,R8)</f>
        <v>1887581</v>
      </c>
      <c r="E8" s="63">
        <f>SUM(L8,S8)</f>
        <v>4595505</v>
      </c>
      <c r="F8" s="76">
        <f t="shared" si="1"/>
        <v>1.6625985908449756</v>
      </c>
      <c r="G8" s="76">
        <f t="shared" si="2"/>
        <v>-0.32799572625859397</v>
      </c>
      <c r="I8" s="49">
        <v>2559083</v>
      </c>
      <c r="J8" s="49">
        <v>1029766</v>
      </c>
      <c r="K8" s="49">
        <v>1431537</v>
      </c>
      <c r="L8" s="49">
        <v>3449468</v>
      </c>
      <c r="M8" s="78">
        <f t="shared" si="3"/>
        <v>1.4851111805983108</v>
      </c>
      <c r="N8" s="78">
        <f t="shared" si="4"/>
        <v>-0.25812241191975105</v>
      </c>
      <c r="P8" s="49">
        <v>529116</v>
      </c>
      <c r="Q8" s="49">
        <v>130078</v>
      </c>
      <c r="R8" s="49">
        <v>456044</v>
      </c>
      <c r="S8" s="49">
        <v>1146037</v>
      </c>
      <c r="T8" s="78">
        <f t="shared" si="5"/>
        <v>3.0676824674426113</v>
      </c>
      <c r="U8" s="78">
        <f t="shared" si="6"/>
        <v>-0.53830810000026175</v>
      </c>
    </row>
    <row r="9" spans="1:45" x14ac:dyDescent="0.25">
      <c r="A9" s="36" t="s">
        <v>6</v>
      </c>
      <c r="B9" s="64">
        <f t="shared" si="0"/>
        <v>3405718</v>
      </c>
      <c r="C9" s="64">
        <f t="shared" ref="C9:C17" si="7">SUM(J9,Q9)</f>
        <v>1455912</v>
      </c>
      <c r="D9" s="64">
        <f>K9+R9</f>
        <v>137830</v>
      </c>
      <c r="E9" s="64">
        <f t="shared" ref="E9" si="8">SUM(L9,S9)</f>
        <v>4688092</v>
      </c>
      <c r="F9" s="77">
        <f t="shared" ref="F9:F18" si="9">B9/C9-1</f>
        <v>1.3392334152064134</v>
      </c>
      <c r="G9" s="77">
        <f t="shared" ref="G9:G18" si="10">B9/E9-1</f>
        <v>-0.27353857390170666</v>
      </c>
      <c r="I9" s="50">
        <v>2720175</v>
      </c>
      <c r="J9" s="50">
        <v>1314414</v>
      </c>
      <c r="K9" s="50">
        <v>120720</v>
      </c>
      <c r="L9" s="50">
        <v>3488454</v>
      </c>
      <c r="M9" s="79">
        <f t="shared" ref="M9:M18" si="11">I9/J9-1</f>
        <v>1.0694963687240095</v>
      </c>
      <c r="N9" s="79">
        <f t="shared" ref="N9:N18" si="12">I9/L9-1</f>
        <v>-0.22023480888668734</v>
      </c>
      <c r="P9" s="51">
        <v>685543</v>
      </c>
      <c r="Q9" s="51">
        <v>141498</v>
      </c>
      <c r="R9" s="51">
        <v>17110</v>
      </c>
      <c r="S9" s="51">
        <v>1199638</v>
      </c>
      <c r="T9" s="80">
        <f t="shared" ref="T9:T18" si="13">P9/Q9-1</f>
        <v>3.8448953342096708</v>
      </c>
      <c r="U9" s="80">
        <f t="shared" ref="U9:U18" si="14">P9/S9-1</f>
        <v>-0.42854177676932537</v>
      </c>
    </row>
    <row r="10" spans="1:45" x14ac:dyDescent="0.25">
      <c r="A10" s="28" t="s">
        <v>7</v>
      </c>
      <c r="B10" s="63">
        <f t="shared" si="0"/>
        <v>3672219</v>
      </c>
      <c r="C10" s="63">
        <f t="shared" si="7"/>
        <v>1739021</v>
      </c>
      <c r="D10" s="63">
        <v>286570</v>
      </c>
      <c r="E10" s="63">
        <f t="shared" ref="E10:E17" si="15">SUM(L10,S10)</f>
        <v>5002917</v>
      </c>
      <c r="F10" s="76">
        <f t="shared" si="9"/>
        <v>1.1116588011300612</v>
      </c>
      <c r="G10" s="76">
        <f t="shared" si="10"/>
        <v>-0.26598442468663785</v>
      </c>
      <c r="I10" s="49">
        <v>2840111</v>
      </c>
      <c r="J10" s="49">
        <v>1568389</v>
      </c>
      <c r="K10" s="49">
        <v>268489</v>
      </c>
      <c r="L10" s="49">
        <v>3665245</v>
      </c>
      <c r="M10" s="78">
        <f t="shared" si="11"/>
        <v>0.81084603373270281</v>
      </c>
      <c r="N10" s="78">
        <f t="shared" si="12"/>
        <v>-0.225123832103993</v>
      </c>
      <c r="P10" s="49">
        <v>832108</v>
      </c>
      <c r="Q10" s="49">
        <v>170632</v>
      </c>
      <c r="R10" s="49">
        <v>18081</v>
      </c>
      <c r="S10" s="49">
        <v>1337672</v>
      </c>
      <c r="T10" s="78">
        <f t="shared" si="13"/>
        <v>3.8766233766233764</v>
      </c>
      <c r="U10" s="78">
        <f t="shared" si="14"/>
        <v>-0.37794317291533353</v>
      </c>
    </row>
    <row r="11" spans="1:45" x14ac:dyDescent="0.25">
      <c r="A11" s="36" t="s">
        <v>8</v>
      </c>
      <c r="B11" s="64">
        <f t="shared" si="0"/>
        <v>4088156</v>
      </c>
      <c r="C11" s="64">
        <f t="shared" si="7"/>
        <v>2245395</v>
      </c>
      <c r="D11" s="64">
        <v>554760</v>
      </c>
      <c r="E11" s="64">
        <f t="shared" si="15"/>
        <v>5457655</v>
      </c>
      <c r="F11" s="77">
        <f t="shared" si="9"/>
        <v>0.82068455661476047</v>
      </c>
      <c r="G11" s="77">
        <f t="shared" si="10"/>
        <v>-0.25093176464983591</v>
      </c>
      <c r="I11" s="50">
        <v>3048239</v>
      </c>
      <c r="J11" s="50">
        <v>1976577</v>
      </c>
      <c r="K11" s="50">
        <v>510795</v>
      </c>
      <c r="L11" s="50">
        <v>3970724</v>
      </c>
      <c r="M11" s="79">
        <f t="shared" si="11"/>
        <v>0.54218074985189046</v>
      </c>
      <c r="N11" s="79">
        <f t="shared" si="12"/>
        <v>-0.23232161187733014</v>
      </c>
      <c r="P11" s="51">
        <v>1039917</v>
      </c>
      <c r="Q11" s="51">
        <v>268818</v>
      </c>
      <c r="R11" s="51">
        <v>43965</v>
      </c>
      <c r="S11" s="51">
        <v>1486931</v>
      </c>
      <c r="T11" s="80">
        <f t="shared" si="13"/>
        <v>2.8684797892998235</v>
      </c>
      <c r="U11" s="80">
        <f t="shared" si="14"/>
        <v>-0.30062861020450848</v>
      </c>
    </row>
    <row r="12" spans="1:45" x14ac:dyDescent="0.25">
      <c r="A12" s="28" t="s">
        <v>9</v>
      </c>
      <c r="B12" s="63">
        <f t="shared" si="0"/>
        <v>4209290</v>
      </c>
      <c r="C12" s="63">
        <f t="shared" si="7"/>
        <v>2731674</v>
      </c>
      <c r="D12" s="63">
        <v>765274</v>
      </c>
      <c r="E12" s="63">
        <f t="shared" si="15"/>
        <v>5604464</v>
      </c>
      <c r="F12" s="76">
        <f t="shared" si="9"/>
        <v>0.54091959728723116</v>
      </c>
      <c r="G12" s="76">
        <f t="shared" si="10"/>
        <v>-0.24893977372323206</v>
      </c>
      <c r="I12" s="49">
        <v>3062473</v>
      </c>
      <c r="J12" s="49">
        <v>2363214</v>
      </c>
      <c r="K12" s="49">
        <v>694324</v>
      </c>
      <c r="L12" s="49">
        <v>4081450</v>
      </c>
      <c r="M12" s="78">
        <f t="shared" si="11"/>
        <v>0.2958932199961577</v>
      </c>
      <c r="N12" s="78">
        <f t="shared" si="12"/>
        <v>-0.24966053730904458</v>
      </c>
      <c r="P12" s="49">
        <v>1146817</v>
      </c>
      <c r="Q12" s="49">
        <v>368460</v>
      </c>
      <c r="R12" s="49">
        <v>70950</v>
      </c>
      <c r="S12" s="49">
        <v>1523014</v>
      </c>
      <c r="T12" s="78">
        <f t="shared" si="13"/>
        <v>2.112459968517614</v>
      </c>
      <c r="U12" s="78">
        <f t="shared" si="14"/>
        <v>-0.24700823498667768</v>
      </c>
    </row>
    <row r="13" spans="1:45" x14ac:dyDescent="0.25">
      <c r="A13" s="36" t="s">
        <v>10</v>
      </c>
      <c r="B13" s="64">
        <f t="shared" si="0"/>
        <v>4098956</v>
      </c>
      <c r="C13" s="64">
        <f t="shared" si="7"/>
        <v>2648891</v>
      </c>
      <c r="D13" s="64">
        <f>K13+R13</f>
        <v>852398</v>
      </c>
      <c r="E13" s="64">
        <f t="shared" si="15"/>
        <v>5734116</v>
      </c>
      <c r="F13" s="77">
        <f t="shared" si="9"/>
        <v>0.54742343116421166</v>
      </c>
      <c r="G13" s="77">
        <f t="shared" si="10"/>
        <v>-0.28516339746178831</v>
      </c>
      <c r="I13" s="49">
        <v>2993033</v>
      </c>
      <c r="J13" s="50">
        <v>2250919</v>
      </c>
      <c r="K13" s="50">
        <v>750406</v>
      </c>
      <c r="L13" s="50">
        <v>4227342</v>
      </c>
      <c r="M13" s="79">
        <f t="shared" si="11"/>
        <v>0.32969378285047135</v>
      </c>
      <c r="N13" s="79">
        <f t="shared" si="12"/>
        <v>-0.29198229052676594</v>
      </c>
      <c r="P13" s="51">
        <v>1105923</v>
      </c>
      <c r="Q13" s="51">
        <v>397972</v>
      </c>
      <c r="R13" s="51">
        <v>101992</v>
      </c>
      <c r="S13" s="51">
        <v>1506774</v>
      </c>
      <c r="T13" s="80">
        <f t="shared" si="13"/>
        <v>1.7788965052817787</v>
      </c>
      <c r="U13" s="80">
        <f t="shared" si="14"/>
        <v>-0.26603259679288338</v>
      </c>
    </row>
    <row r="14" spans="1:45" s="34" customFormat="1" x14ac:dyDescent="0.25">
      <c r="A14" s="31" t="s">
        <v>11</v>
      </c>
      <c r="B14" s="31"/>
      <c r="C14" s="63">
        <f t="shared" si="7"/>
        <v>2419817</v>
      </c>
      <c r="D14" s="63">
        <v>905992</v>
      </c>
      <c r="E14" s="63">
        <f t="shared" si="15"/>
        <v>4464816</v>
      </c>
      <c r="F14" s="76">
        <f t="shared" si="9"/>
        <v>-1</v>
      </c>
      <c r="G14" s="76">
        <f t="shared" si="10"/>
        <v>-1</v>
      </c>
      <c r="H14" s="26"/>
      <c r="I14" s="49"/>
      <c r="J14" s="49">
        <v>2082533</v>
      </c>
      <c r="K14" s="49">
        <v>803620</v>
      </c>
      <c r="L14" s="49">
        <v>3192029</v>
      </c>
      <c r="M14" s="78">
        <f t="shared" si="11"/>
        <v>-1</v>
      </c>
      <c r="N14" s="78">
        <f t="shared" si="12"/>
        <v>-1</v>
      </c>
      <c r="O14" s="33"/>
      <c r="P14" s="49"/>
      <c r="Q14" s="49">
        <v>337284</v>
      </c>
      <c r="R14" s="49">
        <v>102372</v>
      </c>
      <c r="S14" s="49">
        <v>1272787</v>
      </c>
      <c r="T14" s="78">
        <f t="shared" si="13"/>
        <v>-1</v>
      </c>
      <c r="U14" s="78">
        <f t="shared" si="14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f t="shared" si="7"/>
        <v>2711480</v>
      </c>
      <c r="D15" s="64">
        <v>1073882</v>
      </c>
      <c r="E15" s="64">
        <f t="shared" si="15"/>
        <v>4817703</v>
      </c>
      <c r="F15" s="77">
        <f t="shared" si="9"/>
        <v>-1</v>
      </c>
      <c r="G15" s="77">
        <f t="shared" si="10"/>
        <v>-1</v>
      </c>
      <c r="I15" s="50"/>
      <c r="J15" s="50">
        <v>2363925</v>
      </c>
      <c r="K15" s="50">
        <v>952309</v>
      </c>
      <c r="L15" s="50">
        <v>3578718</v>
      </c>
      <c r="M15" s="79">
        <f t="shared" si="11"/>
        <v>-1</v>
      </c>
      <c r="N15" s="79">
        <f t="shared" si="12"/>
        <v>-1</v>
      </c>
      <c r="P15" s="51"/>
      <c r="Q15" s="51">
        <v>347555</v>
      </c>
      <c r="R15" s="51">
        <v>121573</v>
      </c>
      <c r="S15" s="51">
        <v>1238985</v>
      </c>
      <c r="T15" s="80">
        <f t="shared" si="13"/>
        <v>-1</v>
      </c>
      <c r="U15" s="80">
        <f t="shared" si="14"/>
        <v>-1</v>
      </c>
    </row>
    <row r="16" spans="1:45" x14ac:dyDescent="0.25">
      <c r="A16" s="28" t="s">
        <v>13</v>
      </c>
      <c r="B16" s="28"/>
      <c r="C16" s="63">
        <f t="shared" si="7"/>
        <v>2797518</v>
      </c>
      <c r="D16" s="63">
        <v>1073882</v>
      </c>
      <c r="E16" s="63">
        <f t="shared" si="15"/>
        <v>4364780</v>
      </c>
      <c r="F16" s="76">
        <f t="shared" si="9"/>
        <v>-1</v>
      </c>
      <c r="G16" s="76">
        <f t="shared" si="10"/>
        <v>-1</v>
      </c>
      <c r="I16" s="49"/>
      <c r="J16" s="49">
        <v>2382906</v>
      </c>
      <c r="K16" s="49">
        <v>915452</v>
      </c>
      <c r="L16" s="49">
        <v>3228934</v>
      </c>
      <c r="M16" s="78">
        <f t="shared" si="11"/>
        <v>-1</v>
      </c>
      <c r="N16" s="78">
        <f t="shared" si="12"/>
        <v>-1</v>
      </c>
      <c r="P16" s="49"/>
      <c r="Q16" s="49">
        <v>414612</v>
      </c>
      <c r="R16" s="49">
        <v>136787</v>
      </c>
      <c r="S16" s="49">
        <v>1135846</v>
      </c>
      <c r="T16" s="78">
        <f t="shared" si="13"/>
        <v>-1</v>
      </c>
      <c r="U16" s="78">
        <f t="shared" si="14"/>
        <v>-1</v>
      </c>
    </row>
    <row r="17" spans="1:21" x14ac:dyDescent="0.25">
      <c r="A17" s="36" t="s">
        <v>14</v>
      </c>
      <c r="B17" s="36"/>
      <c r="C17" s="64">
        <f t="shared" si="7"/>
        <v>2909816</v>
      </c>
      <c r="D17" s="64">
        <f>SUM(K17,R17)</f>
        <v>918662</v>
      </c>
      <c r="E17" s="64">
        <f t="shared" si="15"/>
        <v>4715471</v>
      </c>
      <c r="F17" s="77">
        <f t="shared" si="9"/>
        <v>-1</v>
      </c>
      <c r="G17" s="77">
        <f t="shared" si="10"/>
        <v>-1</v>
      </c>
      <c r="I17" s="50"/>
      <c r="J17" s="50">
        <v>2385441</v>
      </c>
      <c r="K17" s="50">
        <v>760119</v>
      </c>
      <c r="L17" s="50">
        <v>3457081</v>
      </c>
      <c r="M17" s="79">
        <f t="shared" si="11"/>
        <v>-1</v>
      </c>
      <c r="N17" s="79">
        <f t="shared" si="12"/>
        <v>-1</v>
      </c>
      <c r="P17" s="51"/>
      <c r="Q17" s="51">
        <v>524375</v>
      </c>
      <c r="R17" s="51">
        <v>158543</v>
      </c>
      <c r="S17" s="51">
        <v>1258390</v>
      </c>
      <c r="T17" s="80">
        <f t="shared" si="13"/>
        <v>-1</v>
      </c>
      <c r="U17" s="80">
        <f t="shared" si="14"/>
        <v>-1</v>
      </c>
    </row>
    <row r="18" spans="1:21" x14ac:dyDescent="0.25">
      <c r="A18" s="28" t="s">
        <v>28</v>
      </c>
      <c r="B18" s="65">
        <f>SUM(B6:B13)</f>
        <v>26902878</v>
      </c>
      <c r="C18" s="65">
        <f t="shared" ref="C18:E18" si="16">SUM(C6:C13)</f>
        <v>13486848</v>
      </c>
      <c r="D18" s="65">
        <f>SUM(D6:D13)</f>
        <v>12460862</v>
      </c>
      <c r="E18" s="65">
        <f t="shared" si="16"/>
        <v>38984017</v>
      </c>
      <c r="F18" s="76">
        <f t="shared" si="9"/>
        <v>0.9947491066852685</v>
      </c>
      <c r="G18" s="76">
        <f t="shared" si="10"/>
        <v>-0.30989979816600222</v>
      </c>
      <c r="I18" s="65">
        <f>SUM(I6:I13)</f>
        <v>20799542</v>
      </c>
      <c r="J18" s="65">
        <f t="shared" ref="J18:L18" si="17">SUM(J6:J13)</f>
        <v>11774836</v>
      </c>
      <c r="K18" s="65">
        <f t="shared" si="17"/>
        <v>9685245</v>
      </c>
      <c r="L18" s="65">
        <f t="shared" si="17"/>
        <v>28652228</v>
      </c>
      <c r="M18" s="78">
        <f t="shared" si="11"/>
        <v>0.76644005912269186</v>
      </c>
      <c r="N18" s="78">
        <f t="shared" si="12"/>
        <v>-0.27406894849503505</v>
      </c>
      <c r="P18" s="65">
        <f>SUM(P6:P13)</f>
        <v>6103336</v>
      </c>
      <c r="Q18" s="65">
        <f t="shared" ref="Q18:S18" si="18">SUM(Q6:Q13)</f>
        <v>1712012</v>
      </c>
      <c r="R18" s="65">
        <f t="shared" si="18"/>
        <v>2775617</v>
      </c>
      <c r="S18" s="65">
        <f t="shared" si="18"/>
        <v>10331789</v>
      </c>
      <c r="T18" s="78">
        <f t="shared" si="13"/>
        <v>2.5650077219084912</v>
      </c>
      <c r="U18" s="78">
        <f t="shared" si="14"/>
        <v>-0.40926629454008401</v>
      </c>
    </row>
    <row r="20" spans="1:21" x14ac:dyDescent="0.25">
      <c r="A20" s="30" t="s">
        <v>42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2" spans="1:21" x14ac:dyDescent="0.25">
      <c r="T22" s="26" t="s">
        <v>50</v>
      </c>
    </row>
    <row r="23" spans="1:21" x14ac:dyDescent="0.25">
      <c r="D23" s="22"/>
      <c r="E23" s="22"/>
      <c r="F23" s="22"/>
      <c r="G23" s="22"/>
    </row>
  </sheetData>
  <mergeCells count="4">
    <mergeCell ref="A1:T1"/>
    <mergeCell ref="I3:N3"/>
    <mergeCell ref="B3:G3"/>
    <mergeCell ref="P3:U3"/>
  </mergeCells>
  <phoneticPr fontId="17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1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23"/>
      <c r="C1" s="24" t="s">
        <v>36</v>
      </c>
      <c r="D1" s="25"/>
      <c r="E1" s="25"/>
    </row>
    <row r="3" spans="1:9" ht="19" x14ac:dyDescent="0.25">
      <c r="A3" s="97" t="s">
        <v>30</v>
      </c>
      <c r="B3" s="97"/>
      <c r="C3" s="97"/>
      <c r="D3" s="97"/>
      <c r="E3" s="97"/>
      <c r="F3" s="97"/>
      <c r="G3" s="97"/>
      <c r="H3" s="97"/>
      <c r="I3" s="97"/>
    </row>
    <row r="4" spans="1:9" x14ac:dyDescent="0.2">
      <c r="C4" s="1"/>
      <c r="D4" s="1"/>
      <c r="E4" s="1"/>
      <c r="F4" s="1"/>
    </row>
    <row r="5" spans="1:9" ht="16" x14ac:dyDescent="0.2">
      <c r="A5" s="21">
        <v>1</v>
      </c>
      <c r="C5" s="20" t="s">
        <v>27</v>
      </c>
      <c r="D5" s="4"/>
      <c r="E5" s="1"/>
      <c r="F5" s="18" t="s">
        <v>31</v>
      </c>
      <c r="G5" s="14"/>
    </row>
    <row r="6" spans="1:9" x14ac:dyDescent="0.2">
      <c r="C6" s="6"/>
      <c r="D6" s="7"/>
      <c r="E6" s="1"/>
      <c r="F6" s="15"/>
      <c r="G6" s="16"/>
      <c r="H6" t="s">
        <v>33</v>
      </c>
    </row>
    <row r="7" spans="1:9" x14ac:dyDescent="0.2">
      <c r="C7" s="8"/>
      <c r="D7" s="9"/>
      <c r="E7" s="1"/>
      <c r="F7" s="16"/>
      <c r="G7" s="16"/>
    </row>
    <row r="8" spans="1:9" x14ac:dyDescent="0.2">
      <c r="C8" s="1"/>
      <c r="D8" s="1"/>
      <c r="E8" s="1"/>
    </row>
    <row r="9" spans="1:9" ht="16" x14ac:dyDescent="0.2">
      <c r="A9" s="21">
        <v>2</v>
      </c>
      <c r="C9" s="20" t="s">
        <v>26</v>
      </c>
      <c r="D9" s="4"/>
      <c r="E9" s="1"/>
      <c r="F9" s="1"/>
    </row>
    <row r="10" spans="1:9" ht="16" x14ac:dyDescent="0.2">
      <c r="C10" s="6"/>
      <c r="D10" s="7"/>
      <c r="E10" s="1"/>
      <c r="F10" s="18" t="s">
        <v>32</v>
      </c>
      <c r="G10" s="19"/>
    </row>
    <row r="11" spans="1:9" x14ac:dyDescent="0.2">
      <c r="C11" s="8"/>
      <c r="D11" s="9"/>
      <c r="E11" s="1"/>
      <c r="F11" s="17"/>
      <c r="G11" s="17"/>
      <c r="H11" t="s">
        <v>33</v>
      </c>
    </row>
    <row r="12" spans="1:9" x14ac:dyDescent="0.2">
      <c r="C12" s="1"/>
      <c r="D12" s="1"/>
      <c r="E12" s="1"/>
      <c r="F12" s="17"/>
      <c r="G12" s="17"/>
    </row>
    <row r="13" spans="1:9" ht="16" x14ac:dyDescent="0.2">
      <c r="A13" s="21">
        <v>3</v>
      </c>
      <c r="C13" s="20" t="s">
        <v>21</v>
      </c>
      <c r="D13" s="4"/>
      <c r="E13" s="1"/>
    </row>
    <row r="14" spans="1:9" x14ac:dyDescent="0.2">
      <c r="C14" s="6"/>
      <c r="D14" s="7"/>
      <c r="E14" s="1"/>
    </row>
    <row r="15" spans="1:9" x14ac:dyDescent="0.2">
      <c r="C15" s="8"/>
      <c r="D15" s="9"/>
      <c r="E15" s="1"/>
    </row>
    <row r="16" spans="1:9" x14ac:dyDescent="0.2">
      <c r="C16" s="1"/>
      <c r="D16" s="1"/>
      <c r="E16" s="1"/>
    </row>
    <row r="17" spans="1:6" ht="16" x14ac:dyDescent="0.2">
      <c r="A17" s="21">
        <v>4</v>
      </c>
      <c r="C17" s="20" t="s">
        <v>25</v>
      </c>
      <c r="D17" s="4"/>
      <c r="E17" s="1"/>
    </row>
    <row r="18" spans="1:6" x14ac:dyDescent="0.2">
      <c r="C18" s="6"/>
      <c r="D18" s="10"/>
      <c r="E18" s="1"/>
    </row>
    <row r="19" spans="1:6" x14ac:dyDescent="0.2">
      <c r="C19" s="8"/>
      <c r="D19" s="11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1">
        <v>5</v>
      </c>
      <c r="C21" s="20" t="s">
        <v>20</v>
      </c>
      <c r="D21" s="4"/>
    </row>
    <row r="22" spans="1:6" x14ac:dyDescent="0.2">
      <c r="C22" s="6"/>
      <c r="D22" s="7"/>
    </row>
    <row r="23" spans="1:6" x14ac:dyDescent="0.2">
      <c r="C23" s="8"/>
      <c r="D23" s="9"/>
    </row>
    <row r="24" spans="1:6" x14ac:dyDescent="0.2">
      <c r="C24" s="1"/>
      <c r="D24" s="1"/>
      <c r="E24" s="1"/>
    </row>
    <row r="25" spans="1:6" ht="16" x14ac:dyDescent="0.2">
      <c r="A25" s="21">
        <v>6</v>
      </c>
      <c r="C25" s="20" t="s">
        <v>22</v>
      </c>
      <c r="D25" s="4"/>
      <c r="E25" s="5"/>
    </row>
    <row r="26" spans="1:6" x14ac:dyDescent="0.2">
      <c r="C26" s="6"/>
      <c r="D26" s="7"/>
      <c r="E26" s="1"/>
    </row>
    <row r="27" spans="1:6" x14ac:dyDescent="0.2">
      <c r="C27" s="8"/>
      <c r="D27" s="9"/>
      <c r="E27" s="1"/>
    </row>
    <row r="28" spans="1:6" x14ac:dyDescent="0.2">
      <c r="C28" s="1"/>
      <c r="D28" s="1"/>
      <c r="E28" s="1"/>
    </row>
    <row r="29" spans="1:6" ht="16" x14ac:dyDescent="0.2">
      <c r="A29" s="21">
        <v>7</v>
      </c>
      <c r="C29" s="18" t="s">
        <v>34</v>
      </c>
      <c r="D29" s="5"/>
      <c r="E29" s="1"/>
    </row>
    <row r="30" spans="1:6" x14ac:dyDescent="0.2">
      <c r="C30" s="6"/>
      <c r="D30" s="12"/>
      <c r="E30" s="1"/>
    </row>
    <row r="31" spans="1:6" x14ac:dyDescent="0.2">
      <c r="C31" s="8"/>
      <c r="D31" s="13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1">
        <v>8</v>
      </c>
      <c r="C33" s="20" t="s">
        <v>19</v>
      </c>
      <c r="D33" s="4"/>
      <c r="E33" s="1"/>
      <c r="F33" s="1"/>
    </row>
    <row r="34" spans="1:7" x14ac:dyDescent="0.2">
      <c r="C34" s="6"/>
      <c r="D34" s="7"/>
      <c r="E34" s="1"/>
      <c r="F34" s="1"/>
    </row>
    <row r="35" spans="1:7" x14ac:dyDescent="0.2">
      <c r="C35" s="8"/>
      <c r="D35" s="9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1">
        <v>9</v>
      </c>
      <c r="C37" s="20" t="s">
        <v>17</v>
      </c>
      <c r="D37" s="4"/>
      <c r="F37" s="1"/>
    </row>
    <row r="38" spans="1:7" x14ac:dyDescent="0.2">
      <c r="C38" s="6"/>
      <c r="D38" s="7"/>
      <c r="F38" s="1"/>
    </row>
    <row r="39" spans="1:7" x14ac:dyDescent="0.2">
      <c r="C39" s="8"/>
      <c r="D39" s="9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1">
        <v>10</v>
      </c>
      <c r="C41" s="20" t="s">
        <v>24</v>
      </c>
      <c r="D41" s="4"/>
      <c r="E41" s="1"/>
      <c r="F41" s="1"/>
    </row>
    <row r="42" spans="1:7" x14ac:dyDescent="0.2">
      <c r="C42" s="6"/>
      <c r="D42" s="7"/>
      <c r="E42" s="1"/>
      <c r="F42" s="1"/>
      <c r="G42" t="s">
        <v>29</v>
      </c>
    </row>
    <row r="43" spans="1:7" x14ac:dyDescent="0.2">
      <c r="C43" s="8"/>
      <c r="D43" s="9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S23"/>
  <sheetViews>
    <sheetView zoomScaleNormal="100" zoomScaleSheetLayoutView="90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  <col min="22" max="22" width="8.83203125" customWidth="1"/>
  </cols>
  <sheetData>
    <row r="1" spans="1:45" ht="34" customHeight="1" x14ac:dyDescent="0.2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55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f t="shared" ref="B6:E13" si="0">SUM(I6,P6)</f>
        <v>3959808</v>
      </c>
      <c r="C6" s="63">
        <f t="shared" si="0"/>
        <v>1717612</v>
      </c>
      <c r="D6" s="63">
        <f t="shared" si="0"/>
        <v>6678451</v>
      </c>
      <c r="E6" s="63">
        <f t="shared" si="0"/>
        <v>6766010</v>
      </c>
      <c r="F6" s="76">
        <f>B6/C6-1</f>
        <v>1.3054147269581255</v>
      </c>
      <c r="G6" s="76">
        <f>B6/E6-1</f>
        <v>-0.41474990430105774</v>
      </c>
      <c r="I6" s="49">
        <v>3092543</v>
      </c>
      <c r="J6" s="49">
        <v>1378414</v>
      </c>
      <c r="K6" s="49">
        <v>4624732</v>
      </c>
      <c r="L6" s="49">
        <v>4685933</v>
      </c>
      <c r="M6" s="78">
        <f>I6/J6-1</f>
        <v>1.2435516470378274</v>
      </c>
      <c r="N6" s="78">
        <f>I6/L6-1</f>
        <v>-0.34003687205941702</v>
      </c>
      <c r="P6" s="49">
        <v>867265</v>
      </c>
      <c r="Q6" s="49">
        <v>339198</v>
      </c>
      <c r="R6" s="49">
        <v>2053719</v>
      </c>
      <c r="S6" s="49">
        <v>2080077</v>
      </c>
      <c r="T6" s="78">
        <f>P6/Q6-1</f>
        <v>1.556810476476866</v>
      </c>
      <c r="U6" s="78">
        <f>P6/S6-1</f>
        <v>-0.5830611078339889</v>
      </c>
    </row>
    <row r="7" spans="1:45" x14ac:dyDescent="0.25">
      <c r="A7" s="36" t="s">
        <v>4</v>
      </c>
      <c r="B7" s="64">
        <f t="shared" si="0"/>
        <v>4080905</v>
      </c>
      <c r="C7" s="64">
        <f t="shared" si="0"/>
        <v>1620270</v>
      </c>
      <c r="D7" s="64">
        <f t="shared" si="0"/>
        <v>5821460</v>
      </c>
      <c r="E7" s="64">
        <f t="shared" si="0"/>
        <v>6066401</v>
      </c>
      <c r="F7" s="77">
        <f t="shared" ref="F7:F8" si="1">B7/C7-1</f>
        <v>1.5186573842631166</v>
      </c>
      <c r="G7" s="77">
        <f t="shared" ref="G7:G8" si="2">B7/E7-1</f>
        <v>-0.32729389303476641</v>
      </c>
      <c r="I7" s="50">
        <v>3336451</v>
      </c>
      <c r="J7" s="50">
        <v>1393881</v>
      </c>
      <c r="K7" s="50">
        <v>4260519</v>
      </c>
      <c r="L7" s="50">
        <v>4334938</v>
      </c>
      <c r="M7" s="79">
        <f t="shared" ref="M7:M17" si="3">I7/J7-1</f>
        <v>1.3936412075349329</v>
      </c>
      <c r="N7" s="79">
        <f t="shared" ref="N7:N17" si="4">I7/L7-1</f>
        <v>-0.23033478218142911</v>
      </c>
      <c r="P7" s="51">
        <v>744454</v>
      </c>
      <c r="Q7" s="51">
        <v>226389</v>
      </c>
      <c r="R7" s="51">
        <v>1560941</v>
      </c>
      <c r="S7" s="51">
        <v>1731463</v>
      </c>
      <c r="T7" s="80">
        <f t="shared" ref="T7:T17" si="5">P7/Q7-1</f>
        <v>2.2883841529402931</v>
      </c>
      <c r="U7" s="80">
        <f t="shared" ref="U7:U18" si="6">P7/S7-1</f>
        <v>-0.5700433679495317</v>
      </c>
    </row>
    <row r="8" spans="1:45" x14ac:dyDescent="0.25">
      <c r="A8" s="28" t="s">
        <v>5</v>
      </c>
      <c r="B8" s="63">
        <f t="shared" si="0"/>
        <v>5205974</v>
      </c>
      <c r="C8" s="63">
        <f>SUM(J8,Q8)</f>
        <v>2612885</v>
      </c>
      <c r="D8" s="63">
        <f>SUM(K8,R8)</f>
        <v>3287411</v>
      </c>
      <c r="E8" s="63">
        <f>SUM(L8,S8)</f>
        <v>7368798</v>
      </c>
      <c r="F8" s="76">
        <f t="shared" si="1"/>
        <v>0.99242370023939053</v>
      </c>
      <c r="G8" s="76">
        <f t="shared" si="2"/>
        <v>-0.29351109909648765</v>
      </c>
      <c r="I8" s="49">
        <v>4143188</v>
      </c>
      <c r="J8" s="49">
        <v>2266387</v>
      </c>
      <c r="K8" s="49">
        <v>2400532</v>
      </c>
      <c r="L8" s="49">
        <v>5322333</v>
      </c>
      <c r="M8" s="78">
        <f t="shared" si="3"/>
        <v>0.82810261442551525</v>
      </c>
      <c r="N8" s="78">
        <f t="shared" si="4"/>
        <v>-0.22154664129433466</v>
      </c>
      <c r="P8" s="49">
        <v>1062786</v>
      </c>
      <c r="Q8" s="49">
        <v>346498</v>
      </c>
      <c r="R8" s="49">
        <v>886879</v>
      </c>
      <c r="S8" s="49">
        <v>2046465</v>
      </c>
      <c r="T8" s="78">
        <f t="shared" si="5"/>
        <v>2.0672211672217444</v>
      </c>
      <c r="U8" s="78">
        <f t="shared" si="6"/>
        <v>-0.48067228122640748</v>
      </c>
    </row>
    <row r="9" spans="1:45" x14ac:dyDescent="0.25">
      <c r="A9" s="36" t="s">
        <v>6</v>
      </c>
      <c r="B9" s="64">
        <f t="shared" si="0"/>
        <v>5441504</v>
      </c>
      <c r="C9" s="64">
        <f t="shared" ref="C9:C17" si="7">SUM(J9,Q9)</f>
        <v>3074936</v>
      </c>
      <c r="D9" s="64">
        <f>K9+R9</f>
        <v>299364</v>
      </c>
      <c r="E9" s="64">
        <f>SUM(L9,S9)</f>
        <v>7233370</v>
      </c>
      <c r="F9" s="77">
        <f t="shared" ref="F9:F17" si="8">B9/C9-1</f>
        <v>0.76963162810543051</v>
      </c>
      <c r="G9" s="77">
        <f t="shared" ref="G9:G17" si="9">B9/E9-1</f>
        <v>-0.24772215440382561</v>
      </c>
      <c r="I9" s="50">
        <v>4188282</v>
      </c>
      <c r="J9" s="50">
        <v>2650715</v>
      </c>
      <c r="K9" s="50">
        <v>240197</v>
      </c>
      <c r="L9" s="50">
        <v>5116096</v>
      </c>
      <c r="M9" s="79">
        <f t="shared" si="3"/>
        <v>0.5800574561957812</v>
      </c>
      <c r="N9" s="79">
        <f t="shared" si="4"/>
        <v>-0.18135195273896343</v>
      </c>
      <c r="P9" s="51">
        <v>1253222</v>
      </c>
      <c r="Q9" s="51">
        <v>424221</v>
      </c>
      <c r="R9" s="51">
        <v>59167</v>
      </c>
      <c r="S9" s="51">
        <v>2117274</v>
      </c>
      <c r="T9" s="80">
        <f t="shared" si="5"/>
        <v>1.9541724714240924</v>
      </c>
      <c r="U9" s="80">
        <f t="shared" si="6"/>
        <v>-0.40809644854657456</v>
      </c>
    </row>
    <row r="10" spans="1:45" x14ac:dyDescent="0.25">
      <c r="A10" s="28" t="s">
        <v>7</v>
      </c>
      <c r="B10" s="63">
        <f t="shared" si="0"/>
        <v>5835467</v>
      </c>
      <c r="C10" s="63">
        <f t="shared" si="7"/>
        <v>4054092</v>
      </c>
      <c r="D10" s="63">
        <f>SUM(K10,R10)</f>
        <v>575728</v>
      </c>
      <c r="E10" s="63">
        <f>SUM(L10,S10)</f>
        <v>7613449</v>
      </c>
      <c r="F10" s="76">
        <f t="shared" si="8"/>
        <v>0.43940172053322923</v>
      </c>
      <c r="G10" s="76">
        <f t="shared" si="9"/>
        <v>-0.23353174100200846</v>
      </c>
      <c r="I10" s="49">
        <v>4455973</v>
      </c>
      <c r="J10" s="49">
        <v>3457046</v>
      </c>
      <c r="K10" s="49">
        <v>510349</v>
      </c>
      <c r="L10" s="49">
        <v>5413746</v>
      </c>
      <c r="M10" s="78">
        <f t="shared" si="3"/>
        <v>0.28895392193219305</v>
      </c>
      <c r="N10" s="78">
        <f t="shared" si="4"/>
        <v>-0.17691502334982101</v>
      </c>
      <c r="P10" s="49">
        <v>1379494</v>
      </c>
      <c r="Q10" s="49">
        <v>597046</v>
      </c>
      <c r="R10" s="49">
        <v>65379</v>
      </c>
      <c r="S10" s="49">
        <v>2199703</v>
      </c>
      <c r="T10" s="78">
        <f t="shared" si="5"/>
        <v>1.3105321867996769</v>
      </c>
      <c r="U10" s="78">
        <f t="shared" si="6"/>
        <v>-0.37287261052969423</v>
      </c>
    </row>
    <row r="11" spans="1:45" x14ac:dyDescent="0.25">
      <c r="A11" s="36" t="s">
        <v>8</v>
      </c>
      <c r="B11" s="64">
        <f t="shared" si="0"/>
        <v>6118003</v>
      </c>
      <c r="C11" s="64">
        <f t="shared" si="7"/>
        <v>4887694</v>
      </c>
      <c r="D11" s="64">
        <v>1033861</v>
      </c>
      <c r="E11" s="64">
        <f t="shared" ref="E11" si="10">SUM(L11,S11)</f>
        <v>8035567</v>
      </c>
      <c r="F11" s="77">
        <f t="shared" si="8"/>
        <v>0.25171563522593687</v>
      </c>
      <c r="G11" s="77">
        <f t="shared" si="9"/>
        <v>-0.23863456057301247</v>
      </c>
      <c r="I11" s="50">
        <v>4496561</v>
      </c>
      <c r="J11" s="50">
        <v>4126205</v>
      </c>
      <c r="K11" s="50">
        <v>905183</v>
      </c>
      <c r="L11" s="50">
        <v>5672492</v>
      </c>
      <c r="M11" s="79">
        <f t="shared" si="3"/>
        <v>8.9757052788215885E-2</v>
      </c>
      <c r="N11" s="79">
        <f t="shared" si="4"/>
        <v>-0.20730412665191944</v>
      </c>
      <c r="P11" s="51">
        <v>1621442</v>
      </c>
      <c r="Q11" s="51">
        <v>761489</v>
      </c>
      <c r="R11" s="51">
        <v>128678</v>
      </c>
      <c r="S11" s="51">
        <v>2363075</v>
      </c>
      <c r="T11" s="80">
        <f t="shared" si="5"/>
        <v>1.1293045598820206</v>
      </c>
      <c r="U11" s="80">
        <f t="shared" si="6"/>
        <v>-0.31384234524930443</v>
      </c>
    </row>
    <row r="12" spans="1:45" x14ac:dyDescent="0.25">
      <c r="A12" s="28" t="s">
        <v>9</v>
      </c>
      <c r="B12" s="63">
        <f t="shared" si="0"/>
        <v>6337451</v>
      </c>
      <c r="C12" s="63">
        <f t="shared" si="7"/>
        <v>5561739</v>
      </c>
      <c r="D12" s="63">
        <f>SUM(K12,R12)</f>
        <v>1523462</v>
      </c>
      <c r="E12" s="63">
        <f>SUM(L12,S12)</f>
        <v>8469815</v>
      </c>
      <c r="F12" s="76">
        <f t="shared" si="8"/>
        <v>0.13947292384630061</v>
      </c>
      <c r="G12" s="76">
        <f t="shared" si="9"/>
        <v>-0.25176039854471433</v>
      </c>
      <c r="I12" s="49">
        <v>4517509</v>
      </c>
      <c r="J12" s="49">
        <v>4637866</v>
      </c>
      <c r="K12" s="49">
        <v>1331681</v>
      </c>
      <c r="L12" s="49">
        <v>5933926</v>
      </c>
      <c r="M12" s="78">
        <f t="shared" si="3"/>
        <v>-2.5950943817695471E-2</v>
      </c>
      <c r="N12" s="78">
        <f t="shared" si="4"/>
        <v>-0.23869812329981865</v>
      </c>
      <c r="P12" s="49">
        <v>1819942</v>
      </c>
      <c r="Q12" s="49">
        <v>923873</v>
      </c>
      <c r="R12" s="49">
        <v>191781</v>
      </c>
      <c r="S12" s="49">
        <v>2535889</v>
      </c>
      <c r="T12" s="78">
        <f t="shared" si="5"/>
        <v>0.96990495446885006</v>
      </c>
      <c r="U12" s="78">
        <f t="shared" si="6"/>
        <v>-0.2823258431264144</v>
      </c>
    </row>
    <row r="13" spans="1:45" x14ac:dyDescent="0.25">
      <c r="A13" s="36" t="s">
        <v>10</v>
      </c>
      <c r="B13" s="64">
        <f t="shared" si="0"/>
        <v>6085057</v>
      </c>
      <c r="C13" s="64">
        <f t="shared" si="7"/>
        <v>5135209</v>
      </c>
      <c r="D13" s="64">
        <f>SUM(K13,R13)</f>
        <v>1707500</v>
      </c>
      <c r="E13" s="64">
        <f t="shared" ref="E13:E15" si="11">SUM(L13,S13)</f>
        <v>8136876</v>
      </c>
      <c r="F13" s="77">
        <f t="shared" si="8"/>
        <v>0.18496773938509614</v>
      </c>
      <c r="G13" s="77">
        <f t="shared" si="9"/>
        <v>-0.25216299228352501</v>
      </c>
      <c r="I13" s="49">
        <v>4369408</v>
      </c>
      <c r="J13" s="50">
        <v>4216499</v>
      </c>
      <c r="K13" s="50">
        <v>1485013</v>
      </c>
      <c r="L13" s="50">
        <v>5708830</v>
      </c>
      <c r="M13" s="79">
        <f t="shared" si="3"/>
        <v>3.6264445930142442E-2</v>
      </c>
      <c r="N13" s="79">
        <f t="shared" si="4"/>
        <v>-0.23462285617193013</v>
      </c>
      <c r="P13" s="51">
        <v>1715649</v>
      </c>
      <c r="Q13" s="51">
        <v>918710</v>
      </c>
      <c r="R13" s="51">
        <v>222487</v>
      </c>
      <c r="S13" s="51">
        <v>2428046</v>
      </c>
      <c r="T13" s="80">
        <f t="shared" si="5"/>
        <v>0.86745436536012455</v>
      </c>
      <c r="U13" s="80">
        <f t="shared" si="6"/>
        <v>-0.29340341986931051</v>
      </c>
    </row>
    <row r="14" spans="1:45" s="34" customFormat="1" x14ac:dyDescent="0.25">
      <c r="A14" s="31" t="s">
        <v>11</v>
      </c>
      <c r="B14" s="31"/>
      <c r="C14" s="63">
        <f t="shared" si="7"/>
        <v>4372077</v>
      </c>
      <c r="D14" s="63">
        <f>SUM(K14,R14)</f>
        <v>1749360</v>
      </c>
      <c r="E14" s="63">
        <f t="shared" si="11"/>
        <v>7007176</v>
      </c>
      <c r="F14" s="76">
        <f t="shared" si="8"/>
        <v>-1</v>
      </c>
      <c r="G14" s="76">
        <f t="shared" si="9"/>
        <v>-1</v>
      </c>
      <c r="H14" s="26"/>
      <c r="I14" s="49"/>
      <c r="J14" s="49">
        <v>3640890</v>
      </c>
      <c r="K14" s="49">
        <v>1500678</v>
      </c>
      <c r="L14" s="49">
        <v>4900354</v>
      </c>
      <c r="M14" s="78">
        <f t="shared" si="3"/>
        <v>-1</v>
      </c>
      <c r="N14" s="78">
        <f t="shared" si="4"/>
        <v>-1</v>
      </c>
      <c r="O14" s="33"/>
      <c r="P14" s="49"/>
      <c r="Q14" s="49">
        <v>731187</v>
      </c>
      <c r="R14" s="49">
        <v>248682</v>
      </c>
      <c r="S14" s="49">
        <v>2106822</v>
      </c>
      <c r="T14" s="78">
        <f t="shared" si="5"/>
        <v>-1</v>
      </c>
      <c r="U14" s="78">
        <f t="shared" si="6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f t="shared" si="7"/>
        <v>4847613</v>
      </c>
      <c r="D15" s="64">
        <f>SUM(K15,R15)</f>
        <v>2088438</v>
      </c>
      <c r="E15" s="64">
        <f t="shared" si="11"/>
        <v>7194836</v>
      </c>
      <c r="F15" s="77">
        <f t="shared" si="8"/>
        <v>-1</v>
      </c>
      <c r="G15" s="77">
        <f t="shared" si="9"/>
        <v>-1</v>
      </c>
      <c r="I15" s="50"/>
      <c r="J15" s="50">
        <v>4081995</v>
      </c>
      <c r="K15" s="50">
        <v>1783387</v>
      </c>
      <c r="L15" s="50">
        <v>5111163</v>
      </c>
      <c r="M15" s="79">
        <f t="shared" si="3"/>
        <v>-1</v>
      </c>
      <c r="N15" s="79">
        <f t="shared" si="4"/>
        <v>-1</v>
      </c>
      <c r="P15" s="51"/>
      <c r="Q15" s="51">
        <v>765618</v>
      </c>
      <c r="R15" s="51">
        <v>305051</v>
      </c>
      <c r="S15" s="51">
        <v>2083673</v>
      </c>
      <c r="T15" s="80">
        <f t="shared" si="5"/>
        <v>-1</v>
      </c>
      <c r="U15" s="80">
        <f t="shared" si="6"/>
        <v>-1</v>
      </c>
    </row>
    <row r="16" spans="1:45" x14ac:dyDescent="0.25">
      <c r="A16" s="28" t="s">
        <v>13</v>
      </c>
      <c r="B16" s="28"/>
      <c r="C16" s="63">
        <f t="shared" si="7"/>
        <v>4928299</v>
      </c>
      <c r="D16" s="63">
        <f>SUM(K16,R16)</f>
        <v>2038082</v>
      </c>
      <c r="E16" s="63">
        <f t="shared" ref="E16" si="12">SUM(L16,S16)</f>
        <v>6731520</v>
      </c>
      <c r="F16" s="76">
        <f t="shared" si="8"/>
        <v>-1</v>
      </c>
      <c r="G16" s="76">
        <f t="shared" si="9"/>
        <v>-1</v>
      </c>
      <c r="I16" s="49"/>
      <c r="J16" s="49">
        <v>4051018</v>
      </c>
      <c r="K16" s="49">
        <v>1703020</v>
      </c>
      <c r="L16" s="49">
        <v>4846896</v>
      </c>
      <c r="M16" s="78">
        <f t="shared" si="3"/>
        <v>-1</v>
      </c>
      <c r="N16" s="78">
        <f t="shared" si="4"/>
        <v>-1</v>
      </c>
      <c r="P16" s="49"/>
      <c r="Q16" s="49">
        <v>877281</v>
      </c>
      <c r="R16" s="49">
        <v>335062</v>
      </c>
      <c r="S16" s="49">
        <v>1884624</v>
      </c>
      <c r="T16" s="78">
        <f t="shared" si="5"/>
        <v>-1</v>
      </c>
      <c r="U16" s="78">
        <f t="shared" si="6"/>
        <v>-1</v>
      </c>
    </row>
    <row r="17" spans="1:21" x14ac:dyDescent="0.25">
      <c r="A17" s="36" t="s">
        <v>14</v>
      </c>
      <c r="B17" s="36"/>
      <c r="C17" s="64">
        <f t="shared" si="7"/>
        <v>5194886</v>
      </c>
      <c r="D17" s="64">
        <f>SUM(K17,R17)</f>
        <v>1976284</v>
      </c>
      <c r="E17" s="64">
        <f>SUM(L17,S17)</f>
        <v>7478418</v>
      </c>
      <c r="F17" s="77">
        <f t="shared" si="8"/>
        <v>-1</v>
      </c>
      <c r="G17" s="77">
        <f t="shared" si="9"/>
        <v>-1</v>
      </c>
      <c r="I17" s="50"/>
      <c r="J17" s="50">
        <v>4141099</v>
      </c>
      <c r="K17" s="50">
        <v>1612442</v>
      </c>
      <c r="L17" s="50">
        <v>5358957</v>
      </c>
      <c r="M17" s="79">
        <f t="shared" si="3"/>
        <v>-1</v>
      </c>
      <c r="N17" s="79">
        <f t="shared" si="4"/>
        <v>-1</v>
      </c>
      <c r="P17" s="51"/>
      <c r="Q17" s="51">
        <v>1053787</v>
      </c>
      <c r="R17" s="51">
        <v>363842</v>
      </c>
      <c r="S17" s="51">
        <v>2119461</v>
      </c>
      <c r="T17" s="80">
        <f t="shared" si="5"/>
        <v>-1</v>
      </c>
      <c r="U17" s="80">
        <f t="shared" si="6"/>
        <v>-1</v>
      </c>
    </row>
    <row r="18" spans="1:21" x14ac:dyDescent="0.25">
      <c r="A18" s="28" t="s">
        <v>35</v>
      </c>
      <c r="B18" s="65">
        <f>SUM(B6:B13)</f>
        <v>43064169</v>
      </c>
      <c r="C18" s="65">
        <f t="shared" ref="C18:E18" si="13">SUM(C6:C13)</f>
        <v>28664437</v>
      </c>
      <c r="D18" s="65">
        <f t="shared" si="13"/>
        <v>20927237</v>
      </c>
      <c r="E18" s="65">
        <f t="shared" si="13"/>
        <v>59690286</v>
      </c>
      <c r="F18" s="76">
        <f t="shared" ref="F18" si="14">B18/C18-1</f>
        <v>0.50235530528647754</v>
      </c>
      <c r="G18" s="76">
        <f t="shared" ref="G18" si="15">B18/E18-1</f>
        <v>-0.27853974430613382</v>
      </c>
      <c r="I18" s="65">
        <f>SUM(I6:I13)</f>
        <v>32599915</v>
      </c>
      <c r="J18" s="65">
        <f t="shared" ref="J18:L18" si="16">SUM(J6:J13)</f>
        <v>24127013</v>
      </c>
      <c r="K18" s="65">
        <f t="shared" si="16"/>
        <v>15758206</v>
      </c>
      <c r="L18" s="65">
        <f t="shared" si="16"/>
        <v>42188294</v>
      </c>
      <c r="M18" s="76">
        <f>I18/J18-1</f>
        <v>0.35117907052978325</v>
      </c>
      <c r="N18" s="76">
        <f>I18/L18-1</f>
        <v>-0.22727581731558044</v>
      </c>
      <c r="P18" s="65">
        <f>SUM(P6:P13)</f>
        <v>10464254</v>
      </c>
      <c r="Q18" s="65">
        <f t="shared" ref="Q18:S18" si="17">SUM(Q6:Q13)</f>
        <v>4537424</v>
      </c>
      <c r="R18" s="65">
        <f t="shared" si="17"/>
        <v>5169031</v>
      </c>
      <c r="S18" s="65">
        <f t="shared" si="17"/>
        <v>17501992</v>
      </c>
      <c r="T18" s="76">
        <f>P18/Q18-1</f>
        <v>1.306210307875129</v>
      </c>
      <c r="U18" s="76">
        <f t="shared" si="6"/>
        <v>-0.40211068545797535</v>
      </c>
    </row>
    <row r="20" spans="1:21" x14ac:dyDescent="0.25">
      <c r="A20" s="30" t="s">
        <v>38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49" orientation="portrait" r:id="rId1"/>
  <ignoredErrors>
    <ignoredError sqref="D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W23"/>
  <sheetViews>
    <sheetView zoomScaleNormal="100" zoomScaleSheetLayoutView="90" workbookViewId="0">
      <selection activeCell="J25" sqref="J25"/>
    </sheetView>
  </sheetViews>
  <sheetFormatPr baseColWidth="10" defaultColWidth="9.1640625" defaultRowHeight="19" x14ac:dyDescent="0.25"/>
  <cols>
    <col min="1" max="12" width="13.83203125" style="26" customWidth="1"/>
    <col min="13" max="14" width="13.83203125" style="56" customWidth="1"/>
    <col min="15" max="19" width="13.83203125" style="26" customWidth="1"/>
    <col min="20" max="23" width="9.1640625" style="26" customWidth="1"/>
    <col min="24" max="16384" width="9.1640625" style="26"/>
  </cols>
  <sheetData>
    <row r="1" spans="1:23" s="32" customFormat="1" ht="31" customHeight="1" x14ac:dyDescent="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26"/>
      <c r="T1" s="2"/>
      <c r="U1" s="2"/>
      <c r="V1" s="2"/>
      <c r="W1" s="2"/>
    </row>
    <row r="2" spans="1:23" s="32" customFormat="1" x14ac:dyDescent="0.25">
      <c r="A2"/>
      <c r="B2"/>
      <c r="C2"/>
      <c r="D2"/>
      <c r="E2"/>
      <c r="F2"/>
      <c r="G2"/>
      <c r="H2"/>
      <c r="I2"/>
      <c r="J2"/>
      <c r="K2"/>
      <c r="L2"/>
      <c r="M2" s="58"/>
      <c r="N2" s="58"/>
      <c r="O2"/>
      <c r="P2"/>
      <c r="Q2"/>
      <c r="R2"/>
      <c r="S2"/>
      <c r="T2" s="2"/>
      <c r="U2" s="2"/>
      <c r="V2" s="2"/>
      <c r="W2" s="2"/>
    </row>
    <row r="3" spans="1:23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39"/>
      <c r="P3" s="92" t="s">
        <v>16</v>
      </c>
      <c r="Q3" s="92"/>
      <c r="R3" s="92"/>
    </row>
    <row r="4" spans="1:23" customFormat="1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H4" s="26"/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6"/>
      <c r="P4" s="27"/>
      <c r="Q4" s="27"/>
      <c r="R4" s="27"/>
    </row>
    <row r="5" spans="1:23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69"/>
      <c r="N5" s="69"/>
      <c r="P5" s="43"/>
      <c r="Q5" s="44"/>
      <c r="R5" s="43"/>
    </row>
    <row r="6" spans="1:23" x14ac:dyDescent="0.25">
      <c r="A6" s="28" t="s">
        <v>3</v>
      </c>
      <c r="B6" s="49">
        <v>318193</v>
      </c>
      <c r="C6" s="49">
        <v>68643</v>
      </c>
      <c r="D6" s="63">
        <f t="shared" ref="D6:E8" si="0">SUM(K6,P6)</f>
        <v>480876</v>
      </c>
      <c r="E6" s="63">
        <f t="shared" si="0"/>
        <v>402529</v>
      </c>
      <c r="F6" s="76">
        <f>B6/C6-1</f>
        <v>3.6354763049400525</v>
      </c>
      <c r="G6" s="76">
        <f>B6/E6-1</f>
        <v>-0.20951533926748134</v>
      </c>
      <c r="I6" s="49">
        <v>318193</v>
      </c>
      <c r="J6" s="49">
        <v>68643</v>
      </c>
      <c r="K6" s="49">
        <v>480876</v>
      </c>
      <c r="L6" s="49">
        <v>402529</v>
      </c>
      <c r="M6" s="78">
        <f>I6/J6-1</f>
        <v>3.6354763049400525</v>
      </c>
      <c r="N6" s="78">
        <f>I6/L6-1</f>
        <v>-0.20951533926748134</v>
      </c>
      <c r="P6" s="45"/>
      <c r="Q6" s="45"/>
      <c r="R6" s="46"/>
    </row>
    <row r="7" spans="1:23" x14ac:dyDescent="0.25">
      <c r="A7" s="36" t="s">
        <v>4</v>
      </c>
      <c r="B7" s="64">
        <v>371889</v>
      </c>
      <c r="C7" s="64">
        <v>73316</v>
      </c>
      <c r="D7" s="64">
        <f t="shared" si="0"/>
        <v>456545</v>
      </c>
      <c r="E7" s="64">
        <f t="shared" si="0"/>
        <v>368039</v>
      </c>
      <c r="F7" s="77">
        <f t="shared" ref="F7:F17" si="1">B7/C7-1</f>
        <v>4.072412570243876</v>
      </c>
      <c r="G7" s="77">
        <f t="shared" ref="G7:G18" si="2">B7/E7-1</f>
        <v>1.0460847899271597E-2</v>
      </c>
      <c r="I7" s="50">
        <v>371889</v>
      </c>
      <c r="J7" s="50">
        <v>73316</v>
      </c>
      <c r="K7" s="50">
        <v>456545</v>
      </c>
      <c r="L7" s="50">
        <v>368039</v>
      </c>
      <c r="M7" s="79">
        <f t="shared" ref="M7:M17" si="3">I7/J7-1</f>
        <v>4.072412570243876</v>
      </c>
      <c r="N7" s="79">
        <f t="shared" ref="N7:N17" si="4">I7/L7-1</f>
        <v>1.0460847899271597E-2</v>
      </c>
      <c r="P7" s="47"/>
      <c r="Q7" s="47"/>
      <c r="R7" s="46"/>
    </row>
    <row r="8" spans="1:23" x14ac:dyDescent="0.25">
      <c r="A8" s="28" t="s">
        <v>5</v>
      </c>
      <c r="B8" s="49">
        <v>481044</v>
      </c>
      <c r="C8" s="49">
        <v>137317</v>
      </c>
      <c r="D8" s="63">
        <f t="shared" si="0"/>
        <v>206708</v>
      </c>
      <c r="E8" s="63">
        <f t="shared" si="0"/>
        <v>459829</v>
      </c>
      <c r="F8" s="76">
        <f t="shared" si="1"/>
        <v>2.503164211277555</v>
      </c>
      <c r="G8" s="76">
        <f t="shared" si="2"/>
        <v>4.6136716040093173E-2</v>
      </c>
      <c r="I8" s="49">
        <v>481044</v>
      </c>
      <c r="J8" s="49">
        <v>137317</v>
      </c>
      <c r="K8" s="49">
        <v>206708</v>
      </c>
      <c r="L8" s="49">
        <v>459829</v>
      </c>
      <c r="M8" s="78">
        <f t="shared" si="3"/>
        <v>2.503164211277555</v>
      </c>
      <c r="N8" s="78">
        <f t="shared" si="4"/>
        <v>4.6136716040093173E-2</v>
      </c>
      <c r="P8" s="48"/>
      <c r="Q8" s="48"/>
      <c r="R8" s="46"/>
    </row>
    <row r="9" spans="1:23" x14ac:dyDescent="0.25">
      <c r="A9" s="36" t="s">
        <v>6</v>
      </c>
      <c r="B9" s="83">
        <f>I9</f>
        <v>513138</v>
      </c>
      <c r="C9" s="64">
        <v>73316</v>
      </c>
      <c r="D9" s="64">
        <f>K9</f>
        <v>14042</v>
      </c>
      <c r="E9" s="64">
        <f>SUM(L9,Q9)</f>
        <v>486027</v>
      </c>
      <c r="F9" s="77">
        <f t="shared" si="1"/>
        <v>5.9989906705221232</v>
      </c>
      <c r="G9" s="77">
        <f t="shared" si="2"/>
        <v>5.578085168107938E-2</v>
      </c>
      <c r="I9" s="50">
        <v>513138</v>
      </c>
      <c r="J9" s="50">
        <v>171591</v>
      </c>
      <c r="K9" s="50">
        <v>14042</v>
      </c>
      <c r="L9" s="50">
        <v>486027</v>
      </c>
      <c r="M9" s="79">
        <f t="shared" si="3"/>
        <v>1.9904715282270051</v>
      </c>
      <c r="N9" s="79">
        <f t="shared" si="4"/>
        <v>5.578085168107938E-2</v>
      </c>
      <c r="P9" s="47"/>
      <c r="Q9" s="47"/>
      <c r="R9" s="46"/>
    </row>
    <row r="10" spans="1:23" x14ac:dyDescent="0.25">
      <c r="A10" s="28" t="s">
        <v>7</v>
      </c>
      <c r="B10" s="84">
        <f>I10</f>
        <v>530751</v>
      </c>
      <c r="C10" s="49">
        <v>245844</v>
      </c>
      <c r="D10" s="63">
        <f>SUM(K10,P10)</f>
        <v>39330</v>
      </c>
      <c r="E10" s="63">
        <v>499290</v>
      </c>
      <c r="F10" s="76">
        <f t="shared" si="1"/>
        <v>1.1588934446234198</v>
      </c>
      <c r="G10" s="76">
        <f t="shared" si="2"/>
        <v>6.301147629634074E-2</v>
      </c>
      <c r="I10" s="49">
        <v>530751</v>
      </c>
      <c r="J10" s="49">
        <v>245844</v>
      </c>
      <c r="K10" s="49">
        <v>39330</v>
      </c>
      <c r="L10" s="49">
        <v>499289</v>
      </c>
      <c r="M10" s="78">
        <f t="shared" si="3"/>
        <v>1.1588934446234198</v>
      </c>
      <c r="N10" s="78">
        <f t="shared" si="4"/>
        <v>6.3013605346803114E-2</v>
      </c>
      <c r="P10" s="48"/>
      <c r="Q10" s="48"/>
      <c r="R10" s="46"/>
    </row>
    <row r="11" spans="1:23" x14ac:dyDescent="0.25">
      <c r="A11" s="36" t="s">
        <v>8</v>
      </c>
      <c r="B11" s="83">
        <f>I11</f>
        <v>542379</v>
      </c>
      <c r="C11" s="64">
        <v>359104</v>
      </c>
      <c r="D11" s="64">
        <v>94891</v>
      </c>
      <c r="E11" s="64">
        <f>SUM(L11,Q11)</f>
        <v>520215</v>
      </c>
      <c r="F11" s="77">
        <f t="shared" si="1"/>
        <v>0.51036747014792372</v>
      </c>
      <c r="G11" s="77">
        <f t="shared" si="2"/>
        <v>4.2605461203540917E-2</v>
      </c>
      <c r="I11" s="50">
        <v>542379</v>
      </c>
      <c r="J11" s="50">
        <v>359104</v>
      </c>
      <c r="K11" s="50">
        <v>94891</v>
      </c>
      <c r="L11" s="50">
        <v>520215</v>
      </c>
      <c r="M11" s="79">
        <f t="shared" si="3"/>
        <v>0.51036747014792372</v>
      </c>
      <c r="N11" s="79">
        <f t="shared" si="4"/>
        <v>4.2605461203540917E-2</v>
      </c>
      <c r="P11" s="47"/>
      <c r="Q11" s="47"/>
      <c r="R11" s="46"/>
    </row>
    <row r="12" spans="1:23" x14ac:dyDescent="0.25">
      <c r="A12" s="28" t="s">
        <v>9</v>
      </c>
      <c r="B12" s="84">
        <v>547197</v>
      </c>
      <c r="C12" s="49">
        <v>439131</v>
      </c>
      <c r="D12" s="63">
        <v>110548</v>
      </c>
      <c r="E12" s="63">
        <v>541943</v>
      </c>
      <c r="F12" s="76">
        <f t="shared" si="1"/>
        <v>0.24609057433886461</v>
      </c>
      <c r="G12" s="76">
        <f t="shared" si="2"/>
        <v>9.6947464954801887E-3</v>
      </c>
      <c r="I12" s="49">
        <v>547197</v>
      </c>
      <c r="J12" s="49">
        <v>439131</v>
      </c>
      <c r="K12" s="49">
        <v>110548</v>
      </c>
      <c r="L12" s="49">
        <v>541942</v>
      </c>
      <c r="M12" s="78">
        <f t="shared" si="3"/>
        <v>0.24609057433886461</v>
      </c>
      <c r="N12" s="78">
        <f t="shared" si="4"/>
        <v>9.6966096002892854E-3</v>
      </c>
      <c r="P12" s="48"/>
      <c r="Q12" s="48"/>
      <c r="R12" s="46"/>
    </row>
    <row r="13" spans="1:23" x14ac:dyDescent="0.25">
      <c r="A13" s="36" t="s">
        <v>10</v>
      </c>
      <c r="B13" s="83">
        <v>533393</v>
      </c>
      <c r="C13" s="64">
        <v>415304</v>
      </c>
      <c r="D13" s="64">
        <v>120577</v>
      </c>
      <c r="E13" s="64">
        <f>SUM(L13,Q13)</f>
        <v>556491</v>
      </c>
      <c r="F13" s="77">
        <f t="shared" si="1"/>
        <v>0.28434351703812144</v>
      </c>
      <c r="G13" s="77">
        <f t="shared" si="2"/>
        <v>-4.1506511336212082E-2</v>
      </c>
      <c r="I13" s="50">
        <v>533393</v>
      </c>
      <c r="J13" s="50">
        <v>415304</v>
      </c>
      <c r="K13" s="50">
        <v>120577</v>
      </c>
      <c r="L13" s="50">
        <v>556491</v>
      </c>
      <c r="M13" s="79">
        <f t="shared" si="3"/>
        <v>0.28434351703812144</v>
      </c>
      <c r="N13" s="79">
        <f t="shared" si="4"/>
        <v>-4.1506511336212082E-2</v>
      </c>
      <c r="P13" s="47"/>
      <c r="Q13" s="47"/>
      <c r="R13" s="46"/>
    </row>
    <row r="14" spans="1:23" x14ac:dyDescent="0.25">
      <c r="A14" s="31" t="s">
        <v>11</v>
      </c>
      <c r="B14" s="31"/>
      <c r="C14" s="49">
        <v>406757</v>
      </c>
      <c r="D14" s="63">
        <v>123417</v>
      </c>
      <c r="E14" s="63">
        <f>SUM(L14,Q14)</f>
        <v>518033</v>
      </c>
      <c r="F14" s="76">
        <f t="shared" si="1"/>
        <v>-1</v>
      </c>
      <c r="G14" s="76">
        <f t="shared" si="2"/>
        <v>-1</v>
      </c>
      <c r="I14" s="49"/>
      <c r="J14" s="49">
        <v>406757</v>
      </c>
      <c r="K14" s="49">
        <v>123417</v>
      </c>
      <c r="L14" s="49">
        <v>518033</v>
      </c>
      <c r="M14" s="78">
        <f t="shared" si="3"/>
        <v>-1</v>
      </c>
      <c r="N14" s="78">
        <f t="shared" si="4"/>
        <v>-1</v>
      </c>
      <c r="O14" s="33"/>
      <c r="P14" s="48"/>
      <c r="Q14" s="48"/>
      <c r="R14" s="46"/>
    </row>
    <row r="15" spans="1:23" x14ac:dyDescent="0.25">
      <c r="A15" s="36" t="s">
        <v>12</v>
      </c>
      <c r="B15" s="36"/>
      <c r="C15" s="64">
        <v>462454</v>
      </c>
      <c r="D15" s="64">
        <v>134856</v>
      </c>
      <c r="E15" s="64">
        <f>SUM(L15,Q15)</f>
        <v>551544</v>
      </c>
      <c r="F15" s="77">
        <f t="shared" si="1"/>
        <v>-1</v>
      </c>
      <c r="G15" s="77">
        <f t="shared" si="2"/>
        <v>-1</v>
      </c>
      <c r="I15" s="50"/>
      <c r="J15" s="50">
        <v>462454</v>
      </c>
      <c r="K15" s="50">
        <v>134856</v>
      </c>
      <c r="L15" s="50">
        <v>551544</v>
      </c>
      <c r="M15" s="79">
        <f t="shared" si="3"/>
        <v>-1</v>
      </c>
      <c r="N15" s="79">
        <f t="shared" si="4"/>
        <v>-1</v>
      </c>
      <c r="P15" s="47"/>
      <c r="Q15" s="47"/>
      <c r="R15" s="46"/>
    </row>
    <row r="16" spans="1:23" x14ac:dyDescent="0.25">
      <c r="A16" s="28" t="s">
        <v>13</v>
      </c>
      <c r="B16" s="28"/>
      <c r="C16" s="49">
        <f>J16</f>
        <v>483145</v>
      </c>
      <c r="D16" s="63">
        <v>118111</v>
      </c>
      <c r="E16" s="63">
        <f>SUM(L16,Q16)</f>
        <v>525279</v>
      </c>
      <c r="F16" s="76">
        <f t="shared" si="1"/>
        <v>-1</v>
      </c>
      <c r="G16" s="76">
        <f t="shared" si="2"/>
        <v>-1</v>
      </c>
      <c r="I16" s="49"/>
      <c r="J16" s="49">
        <v>483145</v>
      </c>
      <c r="K16" s="49">
        <v>118111</v>
      </c>
      <c r="L16" s="49">
        <v>525279</v>
      </c>
      <c r="M16" s="78">
        <f t="shared" si="3"/>
        <v>-1</v>
      </c>
      <c r="N16" s="78">
        <f t="shared" si="4"/>
        <v>-1</v>
      </c>
      <c r="P16" s="48"/>
      <c r="Q16" s="48"/>
      <c r="R16" s="46"/>
    </row>
    <row r="17" spans="1:19" x14ac:dyDescent="0.25">
      <c r="A17" s="36" t="s">
        <v>14</v>
      </c>
      <c r="B17" s="36"/>
      <c r="C17" s="64">
        <f>J17</f>
        <v>470365</v>
      </c>
      <c r="D17" s="64">
        <v>95447</v>
      </c>
      <c r="E17" s="64">
        <f>SUM(L17,Q17)</f>
        <v>554520</v>
      </c>
      <c r="F17" s="77">
        <f t="shared" si="1"/>
        <v>-1</v>
      </c>
      <c r="G17" s="77">
        <f t="shared" si="2"/>
        <v>-1</v>
      </c>
      <c r="I17" s="50"/>
      <c r="J17" s="50">
        <v>470365</v>
      </c>
      <c r="K17" s="50">
        <v>95447</v>
      </c>
      <c r="L17" s="50">
        <v>554520</v>
      </c>
      <c r="M17" s="79">
        <f t="shared" si="3"/>
        <v>-1</v>
      </c>
      <c r="N17" s="79">
        <f t="shared" si="4"/>
        <v>-1</v>
      </c>
      <c r="P17" s="47"/>
      <c r="Q17" s="47"/>
      <c r="R17" s="46"/>
    </row>
    <row r="18" spans="1:19" x14ac:dyDescent="0.25">
      <c r="A18" s="28" t="s">
        <v>35</v>
      </c>
      <c r="B18" s="65">
        <f>SUM(B6:B13)</f>
        <v>3837984</v>
      </c>
      <c r="C18" s="65">
        <f t="shared" ref="C18:E18" si="5">SUM(C6:C13)</f>
        <v>1811975</v>
      </c>
      <c r="D18" s="65">
        <f t="shared" si="5"/>
        <v>1523517</v>
      </c>
      <c r="E18" s="65">
        <f t="shared" si="5"/>
        <v>3834363</v>
      </c>
      <c r="F18" s="76">
        <f>B18/C18-1</f>
        <v>1.1181219387684709</v>
      </c>
      <c r="G18" s="76">
        <f t="shared" si="2"/>
        <v>9.4435503367829021E-4</v>
      </c>
      <c r="I18" s="65">
        <f>SUM(I6:I13)</f>
        <v>3837984</v>
      </c>
      <c r="J18" s="65">
        <f t="shared" ref="J18:L18" si="6">SUM(J6:J13)</f>
        <v>1910250</v>
      </c>
      <c r="K18" s="65">
        <f t="shared" si="6"/>
        <v>1523517</v>
      </c>
      <c r="L18" s="65">
        <f t="shared" si="6"/>
        <v>3834361</v>
      </c>
      <c r="M18" s="76">
        <f>I18/J18-1</f>
        <v>1.0091527287004318</v>
      </c>
      <c r="N18" s="76">
        <f>I18/L18-1</f>
        <v>9.4487712554980341E-4</v>
      </c>
      <c r="P18" s="47"/>
      <c r="Q18" s="47"/>
      <c r="R18" s="46"/>
    </row>
    <row r="20" spans="1:19" x14ac:dyDescent="0.25">
      <c r="A20" s="30" t="s">
        <v>45</v>
      </c>
      <c r="B20" s="30"/>
      <c r="C20" s="30"/>
      <c r="L20" s="29"/>
      <c r="P20" s="29"/>
      <c r="Q20" s="29"/>
    </row>
    <row r="21" spans="1:19" x14ac:dyDescent="0.25">
      <c r="A21" t="s">
        <v>49</v>
      </c>
      <c r="B21"/>
      <c r="C21"/>
      <c r="P21" s="29"/>
      <c r="Q21" s="35"/>
      <c r="S21"/>
    </row>
    <row r="23" spans="1:19" x14ac:dyDescent="0.25">
      <c r="D23" s="22"/>
      <c r="E23" s="22"/>
      <c r="F23" s="22"/>
      <c r="G23" s="22"/>
    </row>
  </sheetData>
  <mergeCells count="4">
    <mergeCell ref="A1:R1"/>
    <mergeCell ref="P3:R3"/>
    <mergeCell ref="B3:G3"/>
    <mergeCell ref="I3:N3"/>
  </mergeCells>
  <phoneticPr fontId="17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W23"/>
  <sheetViews>
    <sheetView zoomScaleNormal="100" zoomScaleSheetLayoutView="90" workbookViewId="0">
      <selection activeCell="I18" sqref="I18:L18"/>
    </sheetView>
  </sheetViews>
  <sheetFormatPr baseColWidth="10" defaultColWidth="9.1640625" defaultRowHeight="19" x14ac:dyDescent="0.25"/>
  <cols>
    <col min="1" max="19" width="13.83203125" style="26" customWidth="1"/>
    <col min="20" max="16384" width="9.1640625" style="26"/>
  </cols>
  <sheetData>
    <row r="1" spans="1:23" s="32" customFormat="1" ht="31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26"/>
      <c r="T1" s="2"/>
      <c r="U1" s="2"/>
      <c r="V1" s="2"/>
      <c r="W1" s="2"/>
    </row>
    <row r="2" spans="1:23" s="32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2"/>
      <c r="U2" s="2"/>
      <c r="V2" s="2"/>
      <c r="W2" s="2"/>
    </row>
    <row r="3" spans="1:23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39"/>
      <c r="P3" s="92" t="s">
        <v>16</v>
      </c>
      <c r="Q3" s="92"/>
      <c r="R3" s="92"/>
    </row>
    <row r="4" spans="1:23" customFormat="1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H4" s="26"/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6"/>
      <c r="P4" s="27"/>
      <c r="Q4" s="27"/>
      <c r="R4" s="27"/>
    </row>
    <row r="5" spans="1:23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43"/>
      <c r="Q5" s="44"/>
      <c r="R5" s="43"/>
    </row>
    <row r="6" spans="1:23" x14ac:dyDescent="0.25">
      <c r="A6" s="28" t="s">
        <v>3</v>
      </c>
      <c r="B6" s="81">
        <v>183244</v>
      </c>
      <c r="C6" s="63">
        <v>41254</v>
      </c>
      <c r="D6" s="63">
        <f t="shared" ref="D6:E8" si="0">K6</f>
        <v>288070</v>
      </c>
      <c r="E6" s="63">
        <f t="shared" si="0"/>
        <v>264662</v>
      </c>
      <c r="F6" s="76">
        <f>B6/C6-1</f>
        <v>3.4418480632181119</v>
      </c>
      <c r="G6" s="76">
        <f>B6/E6-1</f>
        <v>-0.30763010934701618</v>
      </c>
      <c r="I6" s="63">
        <v>183244</v>
      </c>
      <c r="J6" s="63">
        <v>41254</v>
      </c>
      <c r="K6" s="49">
        <v>288070</v>
      </c>
      <c r="L6" s="49">
        <v>264662</v>
      </c>
      <c r="M6" s="78">
        <f>I6/J6-1</f>
        <v>3.4418480632181119</v>
      </c>
      <c r="N6" s="78">
        <f>I6/L6-1</f>
        <v>-0.30763010934701618</v>
      </c>
      <c r="P6" s="45"/>
      <c r="Q6" s="45"/>
      <c r="R6" s="46"/>
    </row>
    <row r="7" spans="1:23" x14ac:dyDescent="0.25">
      <c r="A7" s="36" t="s">
        <v>4</v>
      </c>
      <c r="B7" s="82">
        <v>202906</v>
      </c>
      <c r="C7" s="64">
        <v>51305</v>
      </c>
      <c r="D7" s="64">
        <f t="shared" si="0"/>
        <v>278099</v>
      </c>
      <c r="E7" s="64">
        <f t="shared" si="0"/>
        <v>250698</v>
      </c>
      <c r="F7" s="77">
        <f t="shared" ref="F7:F17" si="1">B7/C7-1</f>
        <v>2.9548971835103792</v>
      </c>
      <c r="G7" s="77">
        <f t="shared" ref="G7:G18" si="2">B7/E7-1</f>
        <v>-0.19063574499996017</v>
      </c>
      <c r="I7" s="50">
        <v>202906</v>
      </c>
      <c r="J7" s="50">
        <v>51305</v>
      </c>
      <c r="K7" s="50">
        <v>278099</v>
      </c>
      <c r="L7" s="50">
        <v>250698</v>
      </c>
      <c r="M7" s="79">
        <f t="shared" ref="M7:M17" si="3">I7/J7-1</f>
        <v>2.9548971835103792</v>
      </c>
      <c r="N7" s="79">
        <f t="shared" ref="N7:N17" si="4">I7/L7-1</f>
        <v>-0.19063574499996017</v>
      </c>
      <c r="P7" s="47"/>
      <c r="Q7" s="47"/>
      <c r="R7" s="46"/>
    </row>
    <row r="8" spans="1:23" x14ac:dyDescent="0.25">
      <c r="A8" s="28" t="s">
        <v>5</v>
      </c>
      <c r="B8" s="63">
        <v>270210</v>
      </c>
      <c r="C8" s="63">
        <v>114465</v>
      </c>
      <c r="D8" s="63">
        <f t="shared" si="0"/>
        <v>134452</v>
      </c>
      <c r="E8" s="63">
        <f t="shared" si="0"/>
        <v>289791</v>
      </c>
      <c r="F8" s="76">
        <f t="shared" si="1"/>
        <v>1.3606342550124491</v>
      </c>
      <c r="G8" s="76">
        <f t="shared" si="2"/>
        <v>-6.756938621282238E-2</v>
      </c>
      <c r="I8" s="63">
        <v>270210</v>
      </c>
      <c r="J8" s="63">
        <v>114465</v>
      </c>
      <c r="K8" s="49">
        <v>134452</v>
      </c>
      <c r="L8" s="49">
        <v>289791</v>
      </c>
      <c r="M8" s="78">
        <f t="shared" si="3"/>
        <v>1.3606342550124491</v>
      </c>
      <c r="N8" s="78">
        <f t="shared" si="4"/>
        <v>-6.756938621282238E-2</v>
      </c>
      <c r="P8" s="48"/>
      <c r="Q8" s="48"/>
      <c r="R8" s="46"/>
    </row>
    <row r="9" spans="1:23" x14ac:dyDescent="0.25">
      <c r="A9" s="36" t="s">
        <v>6</v>
      </c>
      <c r="B9" s="83">
        <f>I9</f>
        <v>274381</v>
      </c>
      <c r="C9" s="64">
        <v>51305</v>
      </c>
      <c r="D9" s="64">
        <f>K9</f>
        <v>6299</v>
      </c>
      <c r="E9" s="64">
        <f t="shared" ref="E9:E17" si="5">L9</f>
        <v>296941</v>
      </c>
      <c r="F9" s="77">
        <f t="shared" si="1"/>
        <v>4.348036253776435</v>
      </c>
      <c r="G9" s="77">
        <f t="shared" si="2"/>
        <v>-7.5974688574497962E-2</v>
      </c>
      <c r="I9" s="50">
        <v>274381</v>
      </c>
      <c r="J9" s="50">
        <v>142537</v>
      </c>
      <c r="K9" s="50">
        <v>6299</v>
      </c>
      <c r="L9" s="50">
        <v>296941</v>
      </c>
      <c r="M9" s="79">
        <f t="shared" si="3"/>
        <v>0.92498088215691365</v>
      </c>
      <c r="N9" s="79">
        <f t="shared" si="4"/>
        <v>-7.5974688574497962E-2</v>
      </c>
      <c r="P9" s="47"/>
      <c r="Q9" s="47"/>
      <c r="R9" s="46"/>
    </row>
    <row r="10" spans="1:23" x14ac:dyDescent="0.25">
      <c r="A10" s="28" t="s">
        <v>7</v>
      </c>
      <c r="B10" s="84">
        <f>I10</f>
        <v>282698</v>
      </c>
      <c r="C10" s="49">
        <v>192805</v>
      </c>
      <c r="D10" s="63">
        <v>11566</v>
      </c>
      <c r="E10" s="63">
        <f t="shared" si="5"/>
        <v>305277</v>
      </c>
      <c r="F10" s="76">
        <f t="shared" si="1"/>
        <v>0.46623790876792603</v>
      </c>
      <c r="G10" s="76">
        <f t="shared" si="2"/>
        <v>-7.3962335845805582E-2</v>
      </c>
      <c r="I10" s="49">
        <v>282698</v>
      </c>
      <c r="J10" s="49">
        <v>192805</v>
      </c>
      <c r="K10" s="49">
        <v>11566</v>
      </c>
      <c r="L10" s="49">
        <v>305277</v>
      </c>
      <c r="M10" s="78">
        <f t="shared" si="3"/>
        <v>0.46623790876792603</v>
      </c>
      <c r="N10" s="78">
        <f t="shared" si="4"/>
        <v>-7.3962335845805582E-2</v>
      </c>
      <c r="P10" s="48"/>
      <c r="Q10" s="48"/>
      <c r="R10" s="46"/>
    </row>
    <row r="11" spans="1:23" x14ac:dyDescent="0.25">
      <c r="A11" s="36" t="s">
        <v>8</v>
      </c>
      <c r="B11" s="83">
        <f>I11</f>
        <v>294315</v>
      </c>
      <c r="C11" s="64">
        <v>136679</v>
      </c>
      <c r="D11" s="64">
        <v>24190</v>
      </c>
      <c r="E11" s="64">
        <f t="shared" si="5"/>
        <v>306937</v>
      </c>
      <c r="F11" s="77">
        <f t="shared" si="1"/>
        <v>1.1533300653355671</v>
      </c>
      <c r="G11" s="77">
        <f t="shared" si="2"/>
        <v>-4.1122445322655743E-2</v>
      </c>
      <c r="I11" s="50">
        <v>294315</v>
      </c>
      <c r="J11" s="50">
        <v>136679</v>
      </c>
      <c r="K11" s="50">
        <v>24190</v>
      </c>
      <c r="L11" s="50">
        <v>306937</v>
      </c>
      <c r="M11" s="79">
        <f t="shared" si="3"/>
        <v>1.1533300653355671</v>
      </c>
      <c r="N11" s="79">
        <f t="shared" si="4"/>
        <v>-4.1122445322655743E-2</v>
      </c>
      <c r="P11" s="47"/>
      <c r="Q11" s="47"/>
      <c r="R11" s="46"/>
    </row>
    <row r="12" spans="1:23" x14ac:dyDescent="0.25">
      <c r="A12" s="28" t="s">
        <v>9</v>
      </c>
      <c r="B12" s="29">
        <v>306420</v>
      </c>
      <c r="C12" s="49">
        <v>226857</v>
      </c>
      <c r="D12" s="63">
        <v>40406</v>
      </c>
      <c r="E12" s="63">
        <f t="shared" si="5"/>
        <v>319296</v>
      </c>
      <c r="F12" s="76">
        <f t="shared" si="1"/>
        <v>0.35071873470953063</v>
      </c>
      <c r="G12" s="76">
        <f t="shared" si="2"/>
        <v>-4.032621767889355E-2</v>
      </c>
      <c r="I12" s="29">
        <v>306420</v>
      </c>
      <c r="J12" s="49">
        <v>226857</v>
      </c>
      <c r="K12" s="49">
        <v>40406</v>
      </c>
      <c r="L12" s="49">
        <v>319296</v>
      </c>
      <c r="M12" s="78">
        <f>I13/J12-1</f>
        <v>0.29351970624666635</v>
      </c>
      <c r="N12" s="78">
        <f>I13/L12-1</f>
        <v>-8.0965624373621981E-2</v>
      </c>
      <c r="P12" s="48"/>
      <c r="Q12" s="48"/>
      <c r="R12" s="46"/>
    </row>
    <row r="13" spans="1:23" x14ac:dyDescent="0.25">
      <c r="A13" s="36" t="s">
        <v>10</v>
      </c>
      <c r="B13" s="83">
        <v>293444</v>
      </c>
      <c r="C13" s="64">
        <v>203940</v>
      </c>
      <c r="D13" s="64">
        <v>43685</v>
      </c>
      <c r="E13" s="64">
        <f t="shared" si="5"/>
        <v>325104</v>
      </c>
      <c r="F13" s="77">
        <f t="shared" si="1"/>
        <v>0.43887417868000389</v>
      </c>
      <c r="G13" s="77">
        <f t="shared" si="2"/>
        <v>-9.7384221664452042E-2</v>
      </c>
      <c r="I13" s="50">
        <v>293444</v>
      </c>
      <c r="J13" s="50">
        <v>203940</v>
      </c>
      <c r="K13" s="50">
        <v>43685</v>
      </c>
      <c r="L13" s="50">
        <v>325104</v>
      </c>
      <c r="M13" s="79">
        <f t="shared" ref="M13" si="6">I13/J13-1</f>
        <v>0.43887417868000389</v>
      </c>
      <c r="N13" s="79">
        <f t="shared" ref="N13" si="7">I13/L13-1</f>
        <v>-9.7384221664452042E-2</v>
      </c>
      <c r="P13" s="47"/>
      <c r="Q13" s="47"/>
      <c r="R13" s="46"/>
    </row>
    <row r="14" spans="1:23" x14ac:dyDescent="0.25">
      <c r="A14" s="31" t="s">
        <v>11</v>
      </c>
      <c r="B14" s="31"/>
      <c r="C14" s="49">
        <v>181360</v>
      </c>
      <c r="D14" s="63">
        <v>55007</v>
      </c>
      <c r="E14" s="63">
        <f t="shared" si="5"/>
        <v>289502</v>
      </c>
      <c r="F14" s="76">
        <f t="shared" si="1"/>
        <v>-1</v>
      </c>
      <c r="G14" s="76">
        <f t="shared" si="2"/>
        <v>-1</v>
      </c>
      <c r="I14" s="49"/>
      <c r="J14" s="49">
        <v>181360</v>
      </c>
      <c r="K14" s="49">
        <v>55007</v>
      </c>
      <c r="L14" s="49">
        <v>289502</v>
      </c>
      <c r="M14" s="78">
        <f t="shared" si="3"/>
        <v>-1</v>
      </c>
      <c r="N14" s="78">
        <f t="shared" si="4"/>
        <v>-1</v>
      </c>
      <c r="O14" s="33"/>
      <c r="P14" s="48"/>
      <c r="Q14" s="48"/>
      <c r="R14" s="46"/>
    </row>
    <row r="15" spans="1:23" x14ac:dyDescent="0.25">
      <c r="A15" s="36" t="s">
        <v>12</v>
      </c>
      <c r="B15" s="36"/>
      <c r="C15" s="64">
        <v>220293</v>
      </c>
      <c r="D15" s="64">
        <v>57904</v>
      </c>
      <c r="E15" s="64">
        <f t="shared" si="5"/>
        <v>305102</v>
      </c>
      <c r="F15" s="77">
        <f t="shared" si="1"/>
        <v>-1</v>
      </c>
      <c r="G15" s="77">
        <f t="shared" si="2"/>
        <v>-1</v>
      </c>
      <c r="I15" s="50"/>
      <c r="J15" s="50">
        <v>220293</v>
      </c>
      <c r="K15" s="50">
        <v>57904</v>
      </c>
      <c r="L15" s="50">
        <v>305102</v>
      </c>
      <c r="M15" s="79">
        <f t="shared" si="3"/>
        <v>-1</v>
      </c>
      <c r="N15" s="79">
        <f t="shared" si="4"/>
        <v>-1</v>
      </c>
      <c r="P15" s="47"/>
      <c r="Q15" s="47"/>
      <c r="R15" s="46"/>
    </row>
    <row r="16" spans="1:23" x14ac:dyDescent="0.25">
      <c r="A16" s="28" t="s">
        <v>13</v>
      </c>
      <c r="B16" s="28"/>
      <c r="C16" s="74">
        <f>J16</f>
        <v>250676</v>
      </c>
      <c r="D16" s="63">
        <v>56143</v>
      </c>
      <c r="E16" s="63">
        <f t="shared" si="5"/>
        <v>308559</v>
      </c>
      <c r="F16" s="76">
        <f t="shared" si="1"/>
        <v>-1</v>
      </c>
      <c r="G16" s="76">
        <f t="shared" si="2"/>
        <v>-1</v>
      </c>
      <c r="I16" s="49"/>
      <c r="J16" s="49">
        <v>250676</v>
      </c>
      <c r="K16" s="49">
        <v>56143</v>
      </c>
      <c r="L16" s="49">
        <v>308559</v>
      </c>
      <c r="M16" s="78">
        <f t="shared" si="3"/>
        <v>-1</v>
      </c>
      <c r="N16" s="78">
        <f t="shared" si="4"/>
        <v>-1</v>
      </c>
      <c r="P16" s="48"/>
      <c r="Q16" s="48"/>
      <c r="R16" s="46"/>
    </row>
    <row r="17" spans="1:19" x14ac:dyDescent="0.25">
      <c r="A17" s="36" t="s">
        <v>14</v>
      </c>
      <c r="B17" s="36"/>
      <c r="C17" s="75">
        <f>J17</f>
        <v>261123</v>
      </c>
      <c r="D17" s="64">
        <v>46816</v>
      </c>
      <c r="E17" s="64">
        <f t="shared" si="5"/>
        <v>321686</v>
      </c>
      <c r="F17" s="77">
        <f t="shared" si="1"/>
        <v>-1</v>
      </c>
      <c r="G17" s="77">
        <f t="shared" si="2"/>
        <v>-1</v>
      </c>
      <c r="I17" s="50"/>
      <c r="J17" s="50">
        <v>261123</v>
      </c>
      <c r="K17" s="50">
        <v>46816</v>
      </c>
      <c r="L17" s="50">
        <v>321686</v>
      </c>
      <c r="M17" s="79">
        <f t="shared" si="3"/>
        <v>-1</v>
      </c>
      <c r="N17" s="79">
        <f t="shared" si="4"/>
        <v>-1</v>
      </c>
      <c r="P17" s="47"/>
      <c r="Q17" s="47"/>
      <c r="R17" s="46"/>
    </row>
    <row r="18" spans="1:19" x14ac:dyDescent="0.25">
      <c r="A18" s="28" t="s">
        <v>35</v>
      </c>
      <c r="B18" s="65">
        <f>SUM(B6:B13)</f>
        <v>2107618</v>
      </c>
      <c r="C18" s="65">
        <f t="shared" ref="C18:E18" si="8">SUM(C6:C13)</f>
        <v>1018610</v>
      </c>
      <c r="D18" s="65">
        <f t="shared" si="8"/>
        <v>826767</v>
      </c>
      <c r="E18" s="65">
        <f t="shared" si="8"/>
        <v>2358706</v>
      </c>
      <c r="F18" s="76">
        <f>B18/C18-1</f>
        <v>1.0691118288648256</v>
      </c>
      <c r="G18" s="76">
        <f t="shared" si="2"/>
        <v>-0.10645158828611956</v>
      </c>
      <c r="I18" s="65">
        <f>SUM(I6:I13)</f>
        <v>2107618</v>
      </c>
      <c r="J18" s="65">
        <f t="shared" ref="J18:L18" si="9">SUM(J6:J13)</f>
        <v>1109842</v>
      </c>
      <c r="K18" s="65">
        <f t="shared" si="9"/>
        <v>826767</v>
      </c>
      <c r="L18" s="65">
        <f t="shared" si="9"/>
        <v>2358706</v>
      </c>
      <c r="M18" s="76">
        <f>I18/J18-1</f>
        <v>0.8990252666595786</v>
      </c>
      <c r="N18" s="76">
        <f>I18/L18-1</f>
        <v>-0.10645158828611956</v>
      </c>
      <c r="P18" s="47"/>
      <c r="Q18" s="47"/>
      <c r="R18" s="46"/>
    </row>
    <row r="20" spans="1:19" x14ac:dyDescent="0.25">
      <c r="A20" s="30" t="s">
        <v>37</v>
      </c>
      <c r="B20" s="30"/>
      <c r="C20" s="30"/>
      <c r="L20" s="29"/>
      <c r="P20" s="29"/>
      <c r="Q20" s="29"/>
    </row>
    <row r="21" spans="1:19" x14ac:dyDescent="0.25">
      <c r="A21" t="s">
        <v>49</v>
      </c>
      <c r="B21"/>
      <c r="C21"/>
      <c r="P21" s="29"/>
      <c r="Q21" s="35"/>
      <c r="S21"/>
    </row>
    <row r="23" spans="1:19" x14ac:dyDescent="0.25">
      <c r="D23" s="22"/>
      <c r="E23" s="22"/>
      <c r="F23" s="22"/>
      <c r="G23" s="22"/>
    </row>
  </sheetData>
  <mergeCells count="4">
    <mergeCell ref="P3:R3"/>
    <mergeCell ref="A1:R1"/>
    <mergeCell ref="I3:N3"/>
    <mergeCell ref="B3:G3"/>
  </mergeCells>
  <phoneticPr fontId="17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S23"/>
  <sheetViews>
    <sheetView topLeftCell="D2" zoomScaleNormal="100" zoomScaleSheetLayoutView="100" workbookViewId="0">
      <selection activeCell="P18" sqref="P18:S18"/>
    </sheetView>
  </sheetViews>
  <sheetFormatPr baseColWidth="10" defaultColWidth="8.83203125" defaultRowHeight="19" x14ac:dyDescent="0.25"/>
  <cols>
    <col min="1" max="16" width="13.83203125" style="26" customWidth="1"/>
    <col min="17" max="17" width="13.83203125" style="32" customWidth="1"/>
    <col min="18" max="21" width="13.83203125" style="26" customWidth="1"/>
  </cols>
  <sheetData>
    <row r="1" spans="1:45" ht="34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81">
        <v>339736</v>
      </c>
      <c r="C6" s="63">
        <v>151860</v>
      </c>
      <c r="D6" s="63">
        <v>454539</v>
      </c>
      <c r="E6" s="63">
        <v>396206</v>
      </c>
      <c r="F6" s="76">
        <f>B6/C6-1</f>
        <v>1.2371658106150401</v>
      </c>
      <c r="G6" s="76">
        <f>B6/E6-1</f>
        <v>-0.14252686733668851</v>
      </c>
      <c r="I6" s="49">
        <f t="shared" ref="I6:L10" si="0">B6-P6</f>
        <v>328867</v>
      </c>
      <c r="J6" s="49">
        <f t="shared" si="0"/>
        <v>145385</v>
      </c>
      <c r="K6" s="49">
        <f t="shared" si="0"/>
        <v>423719</v>
      </c>
      <c r="L6" s="49">
        <f t="shared" si="0"/>
        <v>369227</v>
      </c>
      <c r="M6" s="78">
        <f>I6/J6-1</f>
        <v>1.2620421639096193</v>
      </c>
      <c r="N6" s="78">
        <f>I6/L6-1</f>
        <v>-0.10930944920062724</v>
      </c>
      <c r="P6" s="70">
        <f>405+10464</f>
        <v>10869</v>
      </c>
      <c r="Q6" s="70">
        <v>6475</v>
      </c>
      <c r="R6" s="49">
        <f>20269+10551</f>
        <v>30820</v>
      </c>
      <c r="S6" s="49">
        <f>17554+9375+50</f>
        <v>26979</v>
      </c>
      <c r="T6" s="78">
        <f>P6/Q6-1</f>
        <v>0.67861003861003866</v>
      </c>
      <c r="U6" s="78">
        <f>P6/S6-1</f>
        <v>-0.59713110196819752</v>
      </c>
    </row>
    <row r="7" spans="1:45" x14ac:dyDescent="0.25">
      <c r="A7" s="36" t="s">
        <v>4</v>
      </c>
      <c r="B7" s="82">
        <v>357880</v>
      </c>
      <c r="C7" s="64">
        <v>152293</v>
      </c>
      <c r="D7" s="64">
        <v>419951</v>
      </c>
      <c r="E7" s="64">
        <v>363426</v>
      </c>
      <c r="F7" s="77">
        <f t="shared" ref="F7:F17" si="1">B7/C7-1</f>
        <v>1.3499438582206666</v>
      </c>
      <c r="G7" s="77">
        <f t="shared" ref="G7:G18" si="2">B7/E7-1</f>
        <v>-1.5260328099805709E-2</v>
      </c>
      <c r="I7" s="50">
        <f t="shared" si="0"/>
        <v>350153</v>
      </c>
      <c r="J7" s="50">
        <f t="shared" si="0"/>
        <v>150272</v>
      </c>
      <c r="K7" s="50">
        <f t="shared" si="0"/>
        <v>399082</v>
      </c>
      <c r="L7" s="50">
        <f t="shared" si="0"/>
        <v>343205</v>
      </c>
      <c r="M7" s="79">
        <f t="shared" ref="M7:M17" si="3">I7/J7-1</f>
        <v>1.3301280344974447</v>
      </c>
      <c r="N7" s="79">
        <f t="shared" ref="N7:N17" si="4">I7/L7-1</f>
        <v>2.0244460307979217E-2</v>
      </c>
      <c r="P7" s="71">
        <f>516+7211</f>
        <v>7727</v>
      </c>
      <c r="Q7" s="71">
        <v>2021</v>
      </c>
      <c r="R7" s="51">
        <f>12339+8530</f>
        <v>20869</v>
      </c>
      <c r="S7" s="51">
        <f>12635+7586</f>
        <v>20221</v>
      </c>
      <c r="T7" s="80">
        <f t="shared" ref="T7:T17" si="5">P7/Q7-1</f>
        <v>2.8233547748639287</v>
      </c>
      <c r="U7" s="80">
        <f t="shared" ref="U7:U18" si="6">P7/S7-1</f>
        <v>-0.61787250877800304</v>
      </c>
    </row>
    <row r="8" spans="1:45" x14ac:dyDescent="0.25">
      <c r="A8" s="28" t="s">
        <v>5</v>
      </c>
      <c r="B8" s="81">
        <v>454023</v>
      </c>
      <c r="C8" s="63">
        <v>259491</v>
      </c>
      <c r="D8" s="63">
        <v>233776</v>
      </c>
      <c r="E8" s="63">
        <v>436701</v>
      </c>
      <c r="F8" s="76">
        <f t="shared" si="1"/>
        <v>0.74966761853012254</v>
      </c>
      <c r="G8" s="76">
        <f t="shared" si="2"/>
        <v>3.9665583545721139E-2</v>
      </c>
      <c r="I8" s="49">
        <f t="shared" si="0"/>
        <v>443425</v>
      </c>
      <c r="J8" s="49">
        <f>C8-Q8</f>
        <v>256837</v>
      </c>
      <c r="K8" s="49">
        <f>D8-R8</f>
        <v>221481</v>
      </c>
      <c r="L8" s="49">
        <f>E8-S8</f>
        <v>412440</v>
      </c>
      <c r="M8" s="78">
        <f t="shared" si="3"/>
        <v>0.72648411249158018</v>
      </c>
      <c r="N8" s="78">
        <f t="shared" si="4"/>
        <v>7.5126078944816266E-2</v>
      </c>
      <c r="P8" s="70">
        <f>9714+884</f>
        <v>10598</v>
      </c>
      <c r="Q8" s="70">
        <v>2654</v>
      </c>
      <c r="R8" s="49">
        <f>5606+6689</f>
        <v>12295</v>
      </c>
      <c r="S8" s="49">
        <f>15347+8914</f>
        <v>24261</v>
      </c>
      <c r="T8" s="78">
        <f t="shared" si="5"/>
        <v>2.9932177844762622</v>
      </c>
      <c r="U8" s="78">
        <f t="shared" si="6"/>
        <v>-0.56316722311528788</v>
      </c>
    </row>
    <row r="9" spans="1:45" x14ac:dyDescent="0.25">
      <c r="A9" s="36" t="s">
        <v>6</v>
      </c>
      <c r="B9" s="82">
        <v>475741</v>
      </c>
      <c r="C9" s="64">
        <v>298784</v>
      </c>
      <c r="D9" s="64">
        <f>K9+R9</f>
        <v>28916</v>
      </c>
      <c r="E9" s="64">
        <v>444948</v>
      </c>
      <c r="F9" s="77">
        <f t="shared" si="1"/>
        <v>0.59225728285316492</v>
      </c>
      <c r="G9" s="77">
        <f t="shared" si="2"/>
        <v>6.9205839783525347E-2</v>
      </c>
      <c r="I9" s="50">
        <f t="shared" si="0"/>
        <v>464234</v>
      </c>
      <c r="J9" s="50">
        <v>295186</v>
      </c>
      <c r="K9" s="50">
        <v>28916</v>
      </c>
      <c r="L9" s="50">
        <f t="shared" ref="L9:L17" si="7">E9-S9</f>
        <v>420699</v>
      </c>
      <c r="M9" s="79">
        <f t="shared" si="3"/>
        <v>0.57268298632048942</v>
      </c>
      <c r="N9" s="79">
        <f t="shared" si="4"/>
        <v>0.10348253739609548</v>
      </c>
      <c r="P9" s="71">
        <f>788+10719</f>
        <v>11507</v>
      </c>
      <c r="Q9" s="71">
        <v>3598</v>
      </c>
      <c r="R9" s="51">
        <v>0</v>
      </c>
      <c r="S9" s="51">
        <f>16045+8204</f>
        <v>24249</v>
      </c>
      <c r="T9" s="80">
        <f t="shared" si="5"/>
        <v>2.1981656475819902</v>
      </c>
      <c r="U9" s="80">
        <f t="shared" si="6"/>
        <v>-0.52546496762753103</v>
      </c>
    </row>
    <row r="10" spans="1:45" x14ac:dyDescent="0.25">
      <c r="A10" s="28" t="s">
        <v>7</v>
      </c>
      <c r="B10" s="81">
        <v>519085</v>
      </c>
      <c r="C10" s="63">
        <v>366937</v>
      </c>
      <c r="D10" s="63">
        <v>70296</v>
      </c>
      <c r="E10" s="63">
        <v>475400</v>
      </c>
      <c r="F10" s="76">
        <f t="shared" si="1"/>
        <v>0.41464338564930769</v>
      </c>
      <c r="G10" s="76">
        <f t="shared" si="2"/>
        <v>9.1891039124947449E-2</v>
      </c>
      <c r="I10" s="49">
        <f t="shared" si="0"/>
        <v>505775</v>
      </c>
      <c r="J10" s="49">
        <f t="shared" ref="J10:J16" si="8">C10-Q10</f>
        <v>355648</v>
      </c>
      <c r="K10" s="49">
        <v>70296</v>
      </c>
      <c r="L10" s="49">
        <f t="shared" si="7"/>
        <v>449233</v>
      </c>
      <c r="M10" s="78">
        <f t="shared" si="3"/>
        <v>0.42212243566672658</v>
      </c>
      <c r="N10" s="78">
        <f t="shared" si="4"/>
        <v>0.12586341608920093</v>
      </c>
      <c r="P10" s="70">
        <f>1359+11951</f>
        <v>13310</v>
      </c>
      <c r="Q10" s="70">
        <v>11289</v>
      </c>
      <c r="R10" s="49">
        <v>0</v>
      </c>
      <c r="S10" s="49">
        <f>16077+10090</f>
        <v>26167</v>
      </c>
      <c r="T10" s="78">
        <f t="shared" si="5"/>
        <v>0.17902382850562493</v>
      </c>
      <c r="U10" s="78">
        <f t="shared" si="6"/>
        <v>-0.49134405931134639</v>
      </c>
    </row>
    <row r="11" spans="1:45" x14ac:dyDescent="0.25">
      <c r="A11" s="36" t="s">
        <v>8</v>
      </c>
      <c r="B11" s="82">
        <v>514225</v>
      </c>
      <c r="C11" s="64">
        <v>431085</v>
      </c>
      <c r="D11" s="64">
        <v>142029</v>
      </c>
      <c r="E11" s="64">
        <v>477681</v>
      </c>
      <c r="F11" s="77">
        <f t="shared" si="1"/>
        <v>0.19286219655056436</v>
      </c>
      <c r="G11" s="77">
        <f t="shared" si="2"/>
        <v>7.6502938153286459E-2</v>
      </c>
      <c r="I11" s="50">
        <f>B11-P11</f>
        <v>500068</v>
      </c>
      <c r="J11" s="50">
        <f t="shared" si="8"/>
        <v>419434</v>
      </c>
      <c r="K11" s="50">
        <f t="shared" ref="K11:K17" si="9">D11-R11</f>
        <v>140629</v>
      </c>
      <c r="L11" s="50">
        <f>E11-S11</f>
        <v>451211</v>
      </c>
      <c r="M11" s="79">
        <f t="shared" ref="M11:M12" si="10">I11/J11-1</f>
        <v>0.19224478702251124</v>
      </c>
      <c r="N11" s="79">
        <f t="shared" ref="N11:N12" si="11">I11/L11-1</f>
        <v>0.10827971835793004</v>
      </c>
      <c r="P11" s="71">
        <f>1460+12697</f>
        <v>14157</v>
      </c>
      <c r="Q11" s="71">
        <f>11324+327</f>
        <v>11651</v>
      </c>
      <c r="R11" s="51">
        <v>1400</v>
      </c>
      <c r="S11" s="51">
        <f>16810+9660</f>
        <v>26470</v>
      </c>
      <c r="T11" s="80">
        <f t="shared" si="5"/>
        <v>0.21508883357651709</v>
      </c>
      <c r="U11" s="80">
        <f t="shared" si="6"/>
        <v>-0.46516811484699661</v>
      </c>
    </row>
    <row r="12" spans="1:45" x14ac:dyDescent="0.25">
      <c r="A12" s="28" t="s">
        <v>9</v>
      </c>
      <c r="B12" s="81">
        <v>520347</v>
      </c>
      <c r="C12" s="63">
        <v>477966</v>
      </c>
      <c r="D12" s="63">
        <v>176220</v>
      </c>
      <c r="E12" s="63">
        <v>494966</v>
      </c>
      <c r="F12" s="76">
        <f>B12/C12-1</f>
        <v>8.8669486950954779E-2</v>
      </c>
      <c r="G12" s="76">
        <f>B12/E12-1</f>
        <v>5.1278269618519223E-2</v>
      </c>
      <c r="I12" s="49">
        <f>B12-P12</f>
        <v>506074</v>
      </c>
      <c r="J12" s="49">
        <f t="shared" si="8"/>
        <v>465050</v>
      </c>
      <c r="K12" s="49">
        <f t="shared" si="9"/>
        <v>172604</v>
      </c>
      <c r="L12" s="49">
        <f t="shared" si="7"/>
        <v>467990</v>
      </c>
      <c r="M12" s="78">
        <f t="shared" si="10"/>
        <v>8.8214170519298918E-2</v>
      </c>
      <c r="N12" s="78">
        <f t="shared" si="11"/>
        <v>8.137780721810306E-2</v>
      </c>
      <c r="P12" s="70">
        <f>1603+12670</f>
        <v>14273</v>
      </c>
      <c r="Q12" s="70">
        <f>12489+427</f>
        <v>12916</v>
      </c>
      <c r="R12" s="49">
        <v>3616</v>
      </c>
      <c r="S12" s="49">
        <f>16992+9984</f>
        <v>26976</v>
      </c>
      <c r="T12" s="78">
        <f t="shared" si="5"/>
        <v>0.10506348714772384</v>
      </c>
      <c r="U12" s="78">
        <f t="shared" si="6"/>
        <v>-0.47090005931198098</v>
      </c>
    </row>
    <row r="13" spans="1:45" x14ac:dyDescent="0.25">
      <c r="A13" s="36" t="s">
        <v>10</v>
      </c>
      <c r="B13" s="82">
        <v>511275</v>
      </c>
      <c r="C13" s="64">
        <v>467622</v>
      </c>
      <c r="D13" s="64">
        <v>196531</v>
      </c>
      <c r="E13" s="64">
        <v>504102</v>
      </c>
      <c r="F13" s="77">
        <f>B13/C13-1</f>
        <v>9.33510399425177E-2</v>
      </c>
      <c r="G13" s="77">
        <f>B13/E13-1</f>
        <v>1.4229263125319802E-2</v>
      </c>
      <c r="I13" s="49">
        <f>B13-P13</f>
        <v>500298</v>
      </c>
      <c r="J13" s="50">
        <f t="shared" si="8"/>
        <v>456445</v>
      </c>
      <c r="K13" s="50">
        <f t="shared" si="9"/>
        <v>193142</v>
      </c>
      <c r="L13" s="50">
        <f t="shared" si="7"/>
        <v>478782</v>
      </c>
      <c r="M13" s="79">
        <f t="shared" ref="M13" si="12">I13/J13-1</f>
        <v>9.6075102148122982E-2</v>
      </c>
      <c r="N13" s="79">
        <f t="shared" ref="N13" si="13">I13/L13-1</f>
        <v>4.4939032795719092E-2</v>
      </c>
      <c r="P13" s="71">
        <f>3160+7817</f>
        <v>10977</v>
      </c>
      <c r="Q13" s="71">
        <f>10790+387</f>
        <v>11177</v>
      </c>
      <c r="R13" s="51">
        <v>3389</v>
      </c>
      <c r="S13" s="51">
        <f>16303+9017</f>
        <v>25320</v>
      </c>
      <c r="T13" s="80">
        <f t="shared" si="5"/>
        <v>-1.7893889236825666E-2</v>
      </c>
      <c r="U13" s="80">
        <f t="shared" si="6"/>
        <v>-0.56646919431279619</v>
      </c>
    </row>
    <row r="14" spans="1:45" s="34" customFormat="1" x14ac:dyDescent="0.25">
      <c r="A14" s="31" t="s">
        <v>11</v>
      </c>
      <c r="B14" s="31"/>
      <c r="C14" s="63">
        <v>453174</v>
      </c>
      <c r="D14" s="63">
        <v>195037</v>
      </c>
      <c r="E14" s="63">
        <v>469324</v>
      </c>
      <c r="F14" s="76">
        <f t="shared" si="1"/>
        <v>-1</v>
      </c>
      <c r="G14" s="76">
        <f t="shared" si="2"/>
        <v>-1</v>
      </c>
      <c r="H14" s="26"/>
      <c r="I14" s="49"/>
      <c r="J14" s="49">
        <f t="shared" si="8"/>
        <v>443090</v>
      </c>
      <c r="K14" s="49">
        <f t="shared" si="9"/>
        <v>191467</v>
      </c>
      <c r="L14" s="49">
        <f t="shared" si="7"/>
        <v>446169</v>
      </c>
      <c r="M14" s="78">
        <f t="shared" si="3"/>
        <v>-1</v>
      </c>
      <c r="N14" s="78">
        <f t="shared" si="4"/>
        <v>-1</v>
      </c>
      <c r="O14" s="33"/>
      <c r="P14" s="70"/>
      <c r="Q14" s="70">
        <f>216+9868</f>
        <v>10084</v>
      </c>
      <c r="R14" s="49">
        <v>3570</v>
      </c>
      <c r="S14" s="49">
        <f>14518+8637</f>
        <v>23155</v>
      </c>
      <c r="T14" s="78">
        <f t="shared" si="5"/>
        <v>-1</v>
      </c>
      <c r="U14" s="78">
        <f t="shared" si="6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v>494727</v>
      </c>
      <c r="D15" s="64">
        <v>217922</v>
      </c>
      <c r="E15" s="64">
        <v>504550</v>
      </c>
      <c r="F15" s="77">
        <f t="shared" si="1"/>
        <v>-1</v>
      </c>
      <c r="G15" s="77">
        <f t="shared" si="2"/>
        <v>-1</v>
      </c>
      <c r="I15" s="50"/>
      <c r="J15" s="50">
        <f>C15-Q15</f>
        <v>484128</v>
      </c>
      <c r="K15" s="50">
        <f t="shared" si="9"/>
        <v>213773</v>
      </c>
      <c r="L15" s="50">
        <f t="shared" si="7"/>
        <v>480318</v>
      </c>
      <c r="M15" s="79">
        <f t="shared" si="3"/>
        <v>-1</v>
      </c>
      <c r="N15" s="79">
        <f t="shared" si="4"/>
        <v>-1</v>
      </c>
      <c r="P15" s="71"/>
      <c r="Q15" s="71">
        <f>236+10363</f>
        <v>10599</v>
      </c>
      <c r="R15" s="51">
        <v>4149</v>
      </c>
      <c r="S15" s="51">
        <f>15005+9227</f>
        <v>24232</v>
      </c>
      <c r="T15" s="80">
        <f t="shared" si="5"/>
        <v>-1</v>
      </c>
      <c r="U15" s="80">
        <f t="shared" si="6"/>
        <v>-1</v>
      </c>
    </row>
    <row r="16" spans="1:45" x14ac:dyDescent="0.25">
      <c r="A16" s="28" t="s">
        <v>13</v>
      </c>
      <c r="B16" s="28"/>
      <c r="C16" s="65">
        <v>475502</v>
      </c>
      <c r="D16" s="63">
        <v>212726</v>
      </c>
      <c r="E16" s="63">
        <v>501639</v>
      </c>
      <c r="F16" s="76">
        <f t="shared" si="1"/>
        <v>-1</v>
      </c>
      <c r="G16" s="76">
        <f t="shared" si="2"/>
        <v>-1</v>
      </c>
      <c r="I16" s="49"/>
      <c r="J16" s="49">
        <f t="shared" si="8"/>
        <v>464162</v>
      </c>
      <c r="K16" s="49">
        <f t="shared" si="9"/>
        <v>205526</v>
      </c>
      <c r="L16" s="49">
        <f t="shared" si="7"/>
        <v>475453</v>
      </c>
      <c r="M16" s="78">
        <f t="shared" si="3"/>
        <v>-1</v>
      </c>
      <c r="N16" s="78">
        <f t="shared" si="4"/>
        <v>-1</v>
      </c>
      <c r="P16" s="70"/>
      <c r="Q16" s="70">
        <f>11096+244</f>
        <v>11340</v>
      </c>
      <c r="R16" s="49">
        <v>7200</v>
      </c>
      <c r="S16" s="49">
        <f>17203+8983</f>
        <v>26186</v>
      </c>
      <c r="T16" s="78">
        <f t="shared" si="5"/>
        <v>-1</v>
      </c>
      <c r="U16" s="78">
        <f t="shared" si="6"/>
        <v>-1</v>
      </c>
    </row>
    <row r="17" spans="1:21" x14ac:dyDescent="0.25">
      <c r="A17" s="36" t="s">
        <v>14</v>
      </c>
      <c r="B17" s="36"/>
      <c r="C17" s="64">
        <v>467151</v>
      </c>
      <c r="D17" s="64">
        <v>190534</v>
      </c>
      <c r="E17" s="64">
        <v>514789</v>
      </c>
      <c r="F17" s="77">
        <f t="shared" si="1"/>
        <v>-1</v>
      </c>
      <c r="G17" s="77">
        <f t="shared" si="2"/>
        <v>-1</v>
      </c>
      <c r="I17" s="50"/>
      <c r="J17" s="50">
        <f>C17-Q17</f>
        <v>454695</v>
      </c>
      <c r="K17" s="50">
        <f t="shared" si="9"/>
        <v>182779</v>
      </c>
      <c r="L17" s="50">
        <f t="shared" si="7"/>
        <v>455086</v>
      </c>
      <c r="M17" s="79">
        <f t="shared" si="3"/>
        <v>-1</v>
      </c>
      <c r="N17" s="79">
        <f t="shared" si="4"/>
        <v>-1</v>
      </c>
      <c r="P17" s="71"/>
      <c r="Q17" s="71">
        <f>277+12179</f>
        <v>12456</v>
      </c>
      <c r="R17" s="51">
        <v>7755</v>
      </c>
      <c r="S17" s="51">
        <f>48455+11248</f>
        <v>59703</v>
      </c>
      <c r="T17" s="80">
        <f t="shared" si="5"/>
        <v>-1</v>
      </c>
      <c r="U17" s="80">
        <f t="shared" si="6"/>
        <v>-1</v>
      </c>
    </row>
    <row r="18" spans="1:21" x14ac:dyDescent="0.25">
      <c r="A18" s="28" t="s">
        <v>35</v>
      </c>
      <c r="B18" s="65">
        <f>SUM(B6:B13)</f>
        <v>3692312</v>
      </c>
      <c r="C18" s="65">
        <f t="shared" ref="C18:E18" si="14">SUM(C6:C13)</f>
        <v>2606038</v>
      </c>
      <c r="D18" s="65">
        <f t="shared" si="14"/>
        <v>1722258</v>
      </c>
      <c r="E18" s="65">
        <f t="shared" si="14"/>
        <v>3593430</v>
      </c>
      <c r="F18" s="76">
        <f>B18/C18-1</f>
        <v>0.41682968552262101</v>
      </c>
      <c r="G18" s="76">
        <f t="shared" si="2"/>
        <v>2.7517441553056576E-2</v>
      </c>
      <c r="I18" s="65">
        <f>SUM(I6:I13)</f>
        <v>3598894</v>
      </c>
      <c r="J18" s="65">
        <f t="shared" ref="J18:L18" si="15">SUM(J6:J13)</f>
        <v>2544257</v>
      </c>
      <c r="K18" s="65">
        <f t="shared" si="15"/>
        <v>1649869</v>
      </c>
      <c r="L18" s="65">
        <f t="shared" si="15"/>
        <v>3392787</v>
      </c>
      <c r="M18" s="76">
        <f>I18/J18-1</f>
        <v>0.41451669387172752</v>
      </c>
      <c r="N18" s="76">
        <f>I18/L18-1</f>
        <v>6.0748582212794444E-2</v>
      </c>
      <c r="P18" s="65">
        <f>SUM(P6:P13)</f>
        <v>93418</v>
      </c>
      <c r="Q18" s="65">
        <f t="shared" ref="Q18:S18" si="16">SUM(Q6:Q13)</f>
        <v>61781</v>
      </c>
      <c r="R18" s="65">
        <f t="shared" si="16"/>
        <v>72389</v>
      </c>
      <c r="S18" s="65">
        <f t="shared" si="16"/>
        <v>200643</v>
      </c>
      <c r="T18" s="76">
        <f>P18/Q18-1</f>
        <v>0.51208300286495856</v>
      </c>
      <c r="U18" s="76">
        <f t="shared" si="6"/>
        <v>-0.53440688187477259</v>
      </c>
    </row>
    <row r="20" spans="1:21" x14ac:dyDescent="0.25">
      <c r="A20" s="30" t="s">
        <v>38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52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A957"/>
    <pageSetUpPr fitToPage="1"/>
  </sheetPr>
  <dimension ref="A1:AS23"/>
  <sheetViews>
    <sheetView topLeftCell="B2" zoomScaleNormal="100" zoomScaleSheetLayoutView="90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3" t="s">
        <v>16</v>
      </c>
      <c r="Q3" s="93"/>
      <c r="R3" s="93"/>
      <c r="S3" s="93"/>
      <c r="T3" s="93"/>
      <c r="U3" s="94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8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v>630402</v>
      </c>
      <c r="C6" s="63">
        <v>195290</v>
      </c>
      <c r="D6" s="63">
        <v>806386</v>
      </c>
      <c r="E6" s="63">
        <v>819358</v>
      </c>
      <c r="F6" s="76">
        <f>B6/C6-1</f>
        <v>2.2280301090685648</v>
      </c>
      <c r="G6" s="76">
        <f>B6/E6-1</f>
        <v>-0.23061470077792612</v>
      </c>
      <c r="I6" s="49">
        <f>B6-P6</f>
        <v>619263</v>
      </c>
      <c r="J6" s="49">
        <f t="shared" ref="I6:K7" si="0">C6-Q6</f>
        <v>195290</v>
      </c>
      <c r="K6" s="49">
        <f t="shared" si="0"/>
        <v>798938</v>
      </c>
      <c r="L6" s="49">
        <v>805464</v>
      </c>
      <c r="M6" s="78">
        <f>I6/J6-1</f>
        <v>2.170991858262072</v>
      </c>
      <c r="N6" s="78">
        <f>I6/L6-1</f>
        <v>-0.23117234289800659</v>
      </c>
      <c r="P6" s="49">
        <v>11139</v>
      </c>
      <c r="Q6" s="49">
        <v>0</v>
      </c>
      <c r="R6" s="49">
        <v>7448</v>
      </c>
      <c r="S6" s="49">
        <v>13928</v>
      </c>
      <c r="T6" s="78"/>
      <c r="U6" s="78">
        <f>P6/S6-1</f>
        <v>-0.20024411257897756</v>
      </c>
    </row>
    <row r="7" spans="1:45" x14ac:dyDescent="0.25">
      <c r="A7" s="36" t="s">
        <v>4</v>
      </c>
      <c r="B7" s="64">
        <v>717400</v>
      </c>
      <c r="C7" s="64">
        <v>227402</v>
      </c>
      <c r="D7" s="64">
        <v>764506</v>
      </c>
      <c r="E7" s="64">
        <v>789523</v>
      </c>
      <c r="F7" s="77">
        <f t="shared" ref="F7:F17" si="1">B7/C7-1</f>
        <v>2.154765569344157</v>
      </c>
      <c r="G7" s="77">
        <f t="shared" ref="G7:G17" si="2">B7/E7-1</f>
        <v>-9.1350093664149146E-2</v>
      </c>
      <c r="I7" s="50">
        <f t="shared" si="0"/>
        <v>704828</v>
      </c>
      <c r="J7" s="50">
        <f t="shared" si="0"/>
        <v>227402</v>
      </c>
      <c r="K7" s="50">
        <f t="shared" si="0"/>
        <v>757521</v>
      </c>
      <c r="L7" s="50">
        <v>776564</v>
      </c>
      <c r="M7" s="79">
        <f t="shared" ref="M7:M17" si="3">I7/J7-1</f>
        <v>2.0994802156533363</v>
      </c>
      <c r="N7" s="79">
        <f t="shared" ref="N7:N17" si="4">I7/L7-1</f>
        <v>-9.2376159595345619E-2</v>
      </c>
      <c r="P7" s="51">
        <v>12572</v>
      </c>
      <c r="Q7" s="51">
        <v>0</v>
      </c>
      <c r="R7" s="51">
        <v>6985</v>
      </c>
      <c r="S7" s="51">
        <v>12993</v>
      </c>
      <c r="T7" s="80"/>
      <c r="U7" s="80">
        <f t="shared" ref="U7:U18" si="5">P7/S7-1</f>
        <v>-3.2402062649118712E-2</v>
      </c>
    </row>
    <row r="8" spans="1:45" x14ac:dyDescent="0.25">
      <c r="A8" s="28" t="s">
        <v>5</v>
      </c>
      <c r="B8" s="63">
        <v>916767</v>
      </c>
      <c r="C8" s="63">
        <v>385396</v>
      </c>
      <c r="D8" s="63">
        <v>337981</v>
      </c>
      <c r="E8" s="63">
        <v>923403</v>
      </c>
      <c r="F8" s="76">
        <f t="shared" si="1"/>
        <v>1.3787662560068088</v>
      </c>
      <c r="G8" s="76">
        <f t="shared" si="2"/>
        <v>-7.1864613825166623E-3</v>
      </c>
      <c r="I8" s="49">
        <f>B8-P8</f>
        <v>895762</v>
      </c>
      <c r="J8" s="49">
        <f>C8-Q8</f>
        <v>381271</v>
      </c>
      <c r="K8" s="49">
        <f>D8-R8</f>
        <v>335168</v>
      </c>
      <c r="L8" s="49">
        <v>906776</v>
      </c>
      <c r="M8" s="78">
        <f t="shared" si="3"/>
        <v>1.3494102619921264</v>
      </c>
      <c r="N8" s="78">
        <f t="shared" si="4"/>
        <v>-1.2146329413217805E-2</v>
      </c>
      <c r="P8" s="49">
        <v>21005</v>
      </c>
      <c r="Q8" s="49">
        <v>4125</v>
      </c>
      <c r="R8" s="49">
        <v>2813</v>
      </c>
      <c r="S8" s="49">
        <v>16693</v>
      </c>
      <c r="T8" s="78">
        <f t="shared" ref="T8:T17" si="6">P8/Q8-1</f>
        <v>4.0921212121212118</v>
      </c>
      <c r="U8" s="78">
        <f t="shared" si="5"/>
        <v>0.25831186724974531</v>
      </c>
    </row>
    <row r="9" spans="1:45" x14ac:dyDescent="0.25">
      <c r="A9" s="36" t="s">
        <v>6</v>
      </c>
      <c r="B9" s="82">
        <v>958826</v>
      </c>
      <c r="C9" s="64">
        <v>495592</v>
      </c>
      <c r="D9" s="64">
        <f>K9+R9</f>
        <v>25313</v>
      </c>
      <c r="E9" s="64">
        <v>899276</v>
      </c>
      <c r="F9" s="77">
        <f t="shared" si="1"/>
        <v>0.93470838915882415</v>
      </c>
      <c r="G9" s="77">
        <f t="shared" si="2"/>
        <v>6.6219936927039091E-2</v>
      </c>
      <c r="I9" s="50">
        <f t="shared" ref="I9:I13" si="7">B9-P9</f>
        <v>934026</v>
      </c>
      <c r="J9" s="50">
        <v>25313</v>
      </c>
      <c r="K9" s="50">
        <v>25313</v>
      </c>
      <c r="L9" s="50">
        <f t="shared" ref="L9:L11" si="8">E9-S9</f>
        <v>880999</v>
      </c>
      <c r="M9" s="79">
        <f t="shared" si="3"/>
        <v>35.899063722198079</v>
      </c>
      <c r="N9" s="79">
        <f t="shared" si="4"/>
        <v>6.0189625640891808E-2</v>
      </c>
      <c r="P9" s="51">
        <v>24800</v>
      </c>
      <c r="Q9" s="51">
        <v>9099</v>
      </c>
      <c r="R9" s="51">
        <v>0</v>
      </c>
      <c r="S9" s="51">
        <v>18277</v>
      </c>
      <c r="T9" s="80">
        <f t="shared" si="6"/>
        <v>1.7255742389273547</v>
      </c>
      <c r="U9" s="80">
        <f t="shared" si="5"/>
        <v>0.35689664605788707</v>
      </c>
    </row>
    <row r="10" spans="1:45" x14ac:dyDescent="0.25">
      <c r="A10" s="28" t="s">
        <v>7</v>
      </c>
      <c r="B10" s="81">
        <v>1003510</v>
      </c>
      <c r="C10" s="63">
        <v>585735</v>
      </c>
      <c r="D10" s="63">
        <v>82342</v>
      </c>
      <c r="E10" s="63">
        <v>942872</v>
      </c>
      <c r="F10" s="76">
        <f t="shared" si="1"/>
        <v>0.71324916557829043</v>
      </c>
      <c r="G10" s="76">
        <f t="shared" si="2"/>
        <v>6.4312016901551861E-2</v>
      </c>
      <c r="I10" s="49">
        <f t="shared" si="7"/>
        <v>976099</v>
      </c>
      <c r="J10" s="49">
        <v>82342</v>
      </c>
      <c r="K10" s="49">
        <v>82342</v>
      </c>
      <c r="L10" s="49">
        <f t="shared" si="8"/>
        <v>923209</v>
      </c>
      <c r="M10" s="78">
        <f t="shared" si="3"/>
        <v>10.854205630176581</v>
      </c>
      <c r="N10" s="78">
        <f t="shared" si="4"/>
        <v>5.728930285558298E-2</v>
      </c>
      <c r="P10" s="49">
        <v>27411</v>
      </c>
      <c r="Q10" s="49">
        <v>10653</v>
      </c>
      <c r="R10" s="49">
        <v>0</v>
      </c>
      <c r="S10" s="49">
        <v>19663</v>
      </c>
      <c r="T10" s="78">
        <f t="shared" si="6"/>
        <v>1.5730780061954377</v>
      </c>
      <c r="U10" s="78">
        <f t="shared" si="5"/>
        <v>0.39403956669887608</v>
      </c>
    </row>
    <row r="11" spans="1:45" x14ac:dyDescent="0.25">
      <c r="A11" s="36" t="s">
        <v>8</v>
      </c>
      <c r="B11" s="82">
        <v>1001249</v>
      </c>
      <c r="C11" s="64">
        <v>730144</v>
      </c>
      <c r="D11" s="64">
        <v>181486</v>
      </c>
      <c r="E11" s="64">
        <v>918913</v>
      </c>
      <c r="F11" s="77">
        <f t="shared" si="1"/>
        <v>0.37130346890476407</v>
      </c>
      <c r="G11" s="77">
        <f t="shared" si="2"/>
        <v>8.9601518315661988E-2</v>
      </c>
      <c r="I11" s="50">
        <f t="shared" si="7"/>
        <v>972910</v>
      </c>
      <c r="J11" s="50">
        <v>181486</v>
      </c>
      <c r="K11" s="50">
        <v>181486</v>
      </c>
      <c r="L11" s="50">
        <f t="shared" si="8"/>
        <v>902201</v>
      </c>
      <c r="M11" s="79">
        <f t="shared" si="3"/>
        <v>4.3607991801020463</v>
      </c>
      <c r="N11" s="79">
        <f t="shared" si="4"/>
        <v>7.8373887858692148E-2</v>
      </c>
      <c r="P11" s="51">
        <v>28339</v>
      </c>
      <c r="Q11" s="51">
        <v>12078</v>
      </c>
      <c r="R11" s="51">
        <v>0</v>
      </c>
      <c r="S11" s="51">
        <v>16712</v>
      </c>
      <c r="T11" s="80">
        <f t="shared" si="6"/>
        <v>1.3463321742010268</v>
      </c>
      <c r="U11" s="80">
        <f t="shared" si="5"/>
        <v>0.69572762087123019</v>
      </c>
    </row>
    <row r="12" spans="1:45" x14ac:dyDescent="0.25">
      <c r="A12" s="28" t="s">
        <v>9</v>
      </c>
      <c r="B12" s="81">
        <v>1049187</v>
      </c>
      <c r="C12" s="63">
        <v>890185</v>
      </c>
      <c r="D12" s="63">
        <v>239120</v>
      </c>
      <c r="E12" s="63">
        <v>946111</v>
      </c>
      <c r="F12" s="76">
        <f t="shared" si="1"/>
        <v>0.17861680437212479</v>
      </c>
      <c r="G12" s="76">
        <f t="shared" si="2"/>
        <v>0.10894704743946537</v>
      </c>
      <c r="I12" s="49">
        <f t="shared" si="7"/>
        <v>1016178</v>
      </c>
      <c r="J12" s="49">
        <v>239120</v>
      </c>
      <c r="K12" s="49">
        <v>239120</v>
      </c>
      <c r="L12" s="49">
        <f t="shared" ref="L12:L17" si="9">E12-S12</f>
        <v>930107</v>
      </c>
      <c r="M12" s="78">
        <f t="shared" si="3"/>
        <v>3.249657075945132</v>
      </c>
      <c r="N12" s="78">
        <f t="shared" si="4"/>
        <v>9.2538815426612242E-2</v>
      </c>
      <c r="P12" s="49">
        <v>33009</v>
      </c>
      <c r="Q12" s="49">
        <v>11077</v>
      </c>
      <c r="R12" s="49">
        <v>0</v>
      </c>
      <c r="S12" s="49">
        <v>16004</v>
      </c>
      <c r="T12" s="78">
        <f t="shared" si="6"/>
        <v>1.9799584725106074</v>
      </c>
      <c r="U12" s="78">
        <f t="shared" si="5"/>
        <v>1.062546863284179</v>
      </c>
    </row>
    <row r="13" spans="1:45" x14ac:dyDescent="0.25">
      <c r="A13" s="36" t="s">
        <v>10</v>
      </c>
      <c r="B13" s="82">
        <v>1030933</v>
      </c>
      <c r="C13" s="64">
        <v>831522</v>
      </c>
      <c r="D13" s="64">
        <v>266986</v>
      </c>
      <c r="E13" s="64">
        <v>942541</v>
      </c>
      <c r="F13" s="77">
        <f t="shared" si="1"/>
        <v>0.23981446071180312</v>
      </c>
      <c r="G13" s="77">
        <f t="shared" si="2"/>
        <v>9.3780535806930354E-2</v>
      </c>
      <c r="I13" s="50">
        <f t="shared" si="7"/>
        <v>997044</v>
      </c>
      <c r="J13" s="50">
        <v>266986</v>
      </c>
      <c r="K13" s="50">
        <v>266986</v>
      </c>
      <c r="L13" s="50">
        <f t="shared" si="9"/>
        <v>931877</v>
      </c>
      <c r="M13" s="79">
        <f t="shared" si="3"/>
        <v>2.7344430045021086</v>
      </c>
      <c r="N13" s="79">
        <f t="shared" si="4"/>
        <v>6.9930902898129199E-2</v>
      </c>
      <c r="P13" s="51">
        <v>33889</v>
      </c>
      <c r="Q13" s="51">
        <v>9691</v>
      </c>
      <c r="R13" s="51">
        <v>0</v>
      </c>
      <c r="S13" s="51">
        <v>10664</v>
      </c>
      <c r="T13" s="80">
        <f t="shared" si="6"/>
        <v>2.4969559384996387</v>
      </c>
      <c r="U13" s="80">
        <f t="shared" si="5"/>
        <v>2.1778882220555138</v>
      </c>
    </row>
    <row r="14" spans="1:45" s="34" customFormat="1" x14ac:dyDescent="0.25">
      <c r="A14" s="31" t="s">
        <v>11</v>
      </c>
      <c r="B14" s="31"/>
      <c r="C14" s="63">
        <v>783737</v>
      </c>
      <c r="D14" s="63">
        <v>274813</v>
      </c>
      <c r="E14" s="63">
        <v>859174</v>
      </c>
      <c r="F14" s="76">
        <f t="shared" si="1"/>
        <v>-1</v>
      </c>
      <c r="G14" s="76">
        <f t="shared" si="2"/>
        <v>-1</v>
      </c>
      <c r="H14" s="26"/>
      <c r="I14" s="49"/>
      <c r="J14" s="49">
        <v>274813</v>
      </c>
      <c r="K14" s="49">
        <v>274813</v>
      </c>
      <c r="L14" s="49">
        <f t="shared" si="9"/>
        <v>846589</v>
      </c>
      <c r="M14" s="78">
        <f t="shared" si="3"/>
        <v>-1</v>
      </c>
      <c r="N14" s="78">
        <f t="shared" si="4"/>
        <v>-1</v>
      </c>
      <c r="O14" s="33"/>
      <c r="P14" s="49"/>
      <c r="Q14" s="49">
        <v>7967</v>
      </c>
      <c r="R14" s="49">
        <v>0</v>
      </c>
      <c r="S14" s="49">
        <v>12585</v>
      </c>
      <c r="T14" s="78">
        <f t="shared" si="6"/>
        <v>-1</v>
      </c>
      <c r="U14" s="78">
        <f t="shared" si="5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v>873422</v>
      </c>
      <c r="D15" s="64">
        <v>307865</v>
      </c>
      <c r="E15" s="64">
        <v>897873</v>
      </c>
      <c r="F15" s="77">
        <f t="shared" si="1"/>
        <v>-1</v>
      </c>
      <c r="G15" s="77">
        <f t="shared" si="2"/>
        <v>-1</v>
      </c>
      <c r="I15" s="50"/>
      <c r="J15" s="50">
        <v>307865</v>
      </c>
      <c r="K15" s="50">
        <v>307865</v>
      </c>
      <c r="L15" s="50">
        <f t="shared" si="9"/>
        <v>886140</v>
      </c>
      <c r="M15" s="79">
        <f t="shared" si="3"/>
        <v>-1</v>
      </c>
      <c r="N15" s="79">
        <f t="shared" si="4"/>
        <v>-1</v>
      </c>
      <c r="P15" s="51"/>
      <c r="Q15" s="51">
        <v>13284</v>
      </c>
      <c r="R15" s="51">
        <v>0</v>
      </c>
      <c r="S15" s="51">
        <v>11733</v>
      </c>
      <c r="T15" s="80">
        <f t="shared" si="6"/>
        <v>-1</v>
      </c>
      <c r="U15" s="80">
        <f t="shared" si="5"/>
        <v>-1</v>
      </c>
    </row>
    <row r="16" spans="1:45" x14ac:dyDescent="0.25">
      <c r="A16" s="28" t="s">
        <v>13</v>
      </c>
      <c r="B16" s="28"/>
      <c r="C16" s="65">
        <v>854393</v>
      </c>
      <c r="D16" s="63">
        <v>277020</v>
      </c>
      <c r="E16" s="63">
        <v>827140</v>
      </c>
      <c r="F16" s="76">
        <f t="shared" si="1"/>
        <v>-1</v>
      </c>
      <c r="G16" s="76">
        <f t="shared" si="2"/>
        <v>-1</v>
      </c>
      <c r="I16" s="49"/>
      <c r="J16" s="49">
        <v>277020</v>
      </c>
      <c r="K16" s="49">
        <v>277020</v>
      </c>
      <c r="L16" s="49">
        <f t="shared" si="9"/>
        <v>814962</v>
      </c>
      <c r="M16" s="78">
        <f t="shared" si="3"/>
        <v>-1</v>
      </c>
      <c r="N16" s="78">
        <f t="shared" si="4"/>
        <v>-1</v>
      </c>
      <c r="P16" s="49"/>
      <c r="Q16" s="49">
        <v>16153</v>
      </c>
      <c r="R16" s="49">
        <v>0</v>
      </c>
      <c r="S16" s="49">
        <v>12178</v>
      </c>
      <c r="T16" s="78">
        <f t="shared" si="6"/>
        <v>-1</v>
      </c>
      <c r="U16" s="78">
        <f t="shared" si="5"/>
        <v>-1</v>
      </c>
    </row>
    <row r="17" spans="1:21" x14ac:dyDescent="0.25">
      <c r="A17" s="36" t="s">
        <v>14</v>
      </c>
      <c r="B17" s="36"/>
      <c r="C17" s="64">
        <v>847671</v>
      </c>
      <c r="D17" s="64">
        <v>231033</v>
      </c>
      <c r="E17" s="64">
        <v>891492</v>
      </c>
      <c r="F17" s="77">
        <f t="shared" si="1"/>
        <v>-1</v>
      </c>
      <c r="G17" s="77">
        <f t="shared" si="2"/>
        <v>-1</v>
      </c>
      <c r="I17" s="50"/>
      <c r="J17" s="50">
        <v>231033</v>
      </c>
      <c r="K17" s="50">
        <v>231033</v>
      </c>
      <c r="L17" s="50">
        <f t="shared" si="9"/>
        <v>878655</v>
      </c>
      <c r="M17" s="79">
        <f t="shared" si="3"/>
        <v>-1</v>
      </c>
      <c r="N17" s="79">
        <f t="shared" si="4"/>
        <v>-1</v>
      </c>
      <c r="P17" s="51"/>
      <c r="Q17" s="51">
        <v>17919</v>
      </c>
      <c r="R17" s="51"/>
      <c r="S17" s="51">
        <v>12837</v>
      </c>
      <c r="T17" s="80">
        <f t="shared" si="6"/>
        <v>-1</v>
      </c>
      <c r="U17" s="80">
        <f t="shared" si="5"/>
        <v>-1</v>
      </c>
    </row>
    <row r="18" spans="1:21" x14ac:dyDescent="0.25">
      <c r="A18" s="28" t="s">
        <v>28</v>
      </c>
      <c r="B18" s="65">
        <f>SUM(B6:B13)</f>
        <v>7308274</v>
      </c>
      <c r="C18" s="65">
        <f t="shared" ref="C18:E18" si="10">SUM(C6:C13)</f>
        <v>4341266</v>
      </c>
      <c r="D18" s="65">
        <f t="shared" si="10"/>
        <v>2704120</v>
      </c>
      <c r="E18" s="65">
        <f t="shared" si="10"/>
        <v>7181997</v>
      </c>
      <c r="F18" s="76">
        <f>B18/C18-1</f>
        <v>0.68344303251632121</v>
      </c>
      <c r="G18" s="76">
        <f>B18/E18-1</f>
        <v>1.7582435637330418E-2</v>
      </c>
      <c r="I18" s="65">
        <f>SUM(I6:I13)</f>
        <v>7116110</v>
      </c>
      <c r="J18" s="65">
        <f t="shared" ref="J18:L18" si="11">SUM(J6:J13)</f>
        <v>1599210</v>
      </c>
      <c r="K18" s="65">
        <f t="shared" si="11"/>
        <v>2686874</v>
      </c>
      <c r="L18" s="65">
        <f t="shared" si="11"/>
        <v>7057197</v>
      </c>
      <c r="M18" s="76">
        <f>I18/J18-1</f>
        <v>3.4497658218745508</v>
      </c>
      <c r="N18" s="76">
        <f>I18/L18-1</f>
        <v>8.347931905542616E-3</v>
      </c>
      <c r="P18" s="65">
        <f>SUM(P6:P13)</f>
        <v>192164</v>
      </c>
      <c r="Q18" s="65">
        <f t="shared" ref="Q18:S18" si="12">SUM(Q6:Q13)</f>
        <v>56723</v>
      </c>
      <c r="R18" s="65">
        <f t="shared" si="12"/>
        <v>17246</v>
      </c>
      <c r="S18" s="65">
        <f t="shared" si="12"/>
        <v>124934</v>
      </c>
      <c r="T18" s="76">
        <f>P18/Q18-1</f>
        <v>2.3877615781957937</v>
      </c>
      <c r="U18" s="76">
        <f t="shared" si="5"/>
        <v>0.53812412954039734</v>
      </c>
    </row>
    <row r="20" spans="1:21" x14ac:dyDescent="0.25">
      <c r="A20" s="30" t="s">
        <v>39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P3:U3"/>
    <mergeCell ref="I3:N3"/>
    <mergeCell ref="B3:G3"/>
  </mergeCells>
  <phoneticPr fontId="17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AS23"/>
  <sheetViews>
    <sheetView topLeftCell="C1" zoomScaleNormal="100" zoomScaleSheetLayoutView="100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v>593240</v>
      </c>
      <c r="C6" s="63">
        <v>270925</v>
      </c>
      <c r="D6" s="63">
        <v>905817</v>
      </c>
      <c r="E6" s="63">
        <v>954160</v>
      </c>
      <c r="F6" s="76">
        <f>B6/C6-1</f>
        <v>1.1896834917412566</v>
      </c>
      <c r="G6" s="76">
        <f>B6/E6-1</f>
        <v>-0.37825941141946839</v>
      </c>
      <c r="I6" s="49">
        <f t="shared" ref="I6:L13" si="0">B6-P6</f>
        <v>575446</v>
      </c>
      <c r="J6" s="49">
        <f t="shared" si="0"/>
        <v>258040</v>
      </c>
      <c r="K6" s="49">
        <f t="shared" si="0"/>
        <v>873145</v>
      </c>
      <c r="L6" s="49">
        <f t="shared" si="0"/>
        <v>905745</v>
      </c>
      <c r="M6" s="78">
        <f>I6/J6-1</f>
        <v>1.2300651061850876</v>
      </c>
      <c r="N6" s="78">
        <f>I6/L6-1</f>
        <v>-0.36467107188005454</v>
      </c>
      <c r="P6" s="49">
        <v>17794</v>
      </c>
      <c r="Q6" s="49">
        <v>12885</v>
      </c>
      <c r="R6" s="49">
        <v>32672</v>
      </c>
      <c r="S6" s="49">
        <v>48415</v>
      </c>
      <c r="T6" s="78">
        <f>P6/Q6-1</f>
        <v>0.38098564221963516</v>
      </c>
      <c r="U6" s="78">
        <f>P6/S6-1</f>
        <v>-0.63246927605081071</v>
      </c>
    </row>
    <row r="7" spans="1:45" x14ac:dyDescent="0.25">
      <c r="A7" s="36" t="s">
        <v>4</v>
      </c>
      <c r="B7" s="82">
        <v>667483</v>
      </c>
      <c r="C7" s="64">
        <v>305463</v>
      </c>
      <c r="D7" s="64">
        <v>845576</v>
      </c>
      <c r="E7" s="64">
        <v>881204</v>
      </c>
      <c r="F7" s="77">
        <f t="shared" ref="F7:F17" si="1">B7/C7-1</f>
        <v>1.185151720502974</v>
      </c>
      <c r="G7" s="77">
        <f t="shared" ref="G7:G18" si="2">B7/E7-1</f>
        <v>-0.24253294356357891</v>
      </c>
      <c r="I7" s="50">
        <f t="shared" si="0"/>
        <v>654345</v>
      </c>
      <c r="J7" s="50">
        <f t="shared" si="0"/>
        <v>298878</v>
      </c>
      <c r="K7" s="50">
        <f t="shared" si="0"/>
        <v>818992</v>
      </c>
      <c r="L7" s="50">
        <f t="shared" si="0"/>
        <v>838441</v>
      </c>
      <c r="M7" s="79">
        <f t="shared" ref="M7:M17" si="3">I7/J7-1</f>
        <v>1.1893381245859516</v>
      </c>
      <c r="N7" s="79">
        <f t="shared" ref="N7:N18" si="4">I7/L7-1</f>
        <v>-0.21956941514071948</v>
      </c>
      <c r="P7" s="51">
        <v>13138</v>
      </c>
      <c r="Q7" s="51">
        <v>6585</v>
      </c>
      <c r="R7" s="51">
        <v>26584</v>
      </c>
      <c r="S7" s="51">
        <v>42763</v>
      </c>
      <c r="T7" s="80">
        <f t="shared" ref="T7:T17" si="5">P7/Q7-1</f>
        <v>0.99514047076689449</v>
      </c>
      <c r="U7" s="80">
        <f t="shared" ref="U7:U18" si="6">P7/S7-1</f>
        <v>-0.69277178869583511</v>
      </c>
    </row>
    <row r="8" spans="1:45" x14ac:dyDescent="0.25">
      <c r="A8" s="28" t="s">
        <v>5</v>
      </c>
      <c r="B8" s="63">
        <v>830337</v>
      </c>
      <c r="C8" s="63">
        <v>487610</v>
      </c>
      <c r="D8" s="63">
        <v>451799</v>
      </c>
      <c r="E8" s="63">
        <v>1095906</v>
      </c>
      <c r="F8" s="76">
        <f t="shared" si="1"/>
        <v>0.70287114702323583</v>
      </c>
      <c r="G8" s="76">
        <f t="shared" si="2"/>
        <v>-0.24232826538042496</v>
      </c>
      <c r="I8" s="49">
        <f t="shared" si="0"/>
        <v>815467</v>
      </c>
      <c r="J8" s="49">
        <f>C8-Q8</f>
        <v>479291</v>
      </c>
      <c r="K8" s="49">
        <f>D8-R8</f>
        <v>431602</v>
      </c>
      <c r="L8" s="49">
        <f>E8-S8</f>
        <v>1043674</v>
      </c>
      <c r="M8" s="78">
        <f t="shared" si="3"/>
        <v>0.70140269690021295</v>
      </c>
      <c r="N8" s="78">
        <f t="shared" si="4"/>
        <v>-0.21865735852383028</v>
      </c>
      <c r="P8" s="49">
        <v>14870</v>
      </c>
      <c r="Q8" s="49">
        <v>8319</v>
      </c>
      <c r="R8" s="49">
        <v>20197</v>
      </c>
      <c r="S8" s="49">
        <v>52232</v>
      </c>
      <c r="T8" s="78">
        <f t="shared" si="5"/>
        <v>0.78747445606443089</v>
      </c>
      <c r="U8" s="78">
        <f t="shared" si="6"/>
        <v>-0.71530862306631948</v>
      </c>
    </row>
    <row r="9" spans="1:45" x14ac:dyDescent="0.25">
      <c r="A9" s="36" t="s">
        <v>6</v>
      </c>
      <c r="B9" s="82">
        <v>918532</v>
      </c>
      <c r="C9" s="64">
        <v>593366</v>
      </c>
      <c r="D9" s="64">
        <f>K9+R9</f>
        <v>45819</v>
      </c>
      <c r="E9" s="64">
        <v>1136370</v>
      </c>
      <c r="F9" s="77">
        <f t="shared" si="1"/>
        <v>0.54800241335027633</v>
      </c>
      <c r="G9" s="77">
        <f t="shared" si="2"/>
        <v>-0.1916963665003476</v>
      </c>
      <c r="I9" s="50">
        <f t="shared" si="0"/>
        <v>905273</v>
      </c>
      <c r="J9" s="50">
        <f t="shared" ref="J9:J14" si="7">C9-Q9</f>
        <v>582063</v>
      </c>
      <c r="K9" s="50">
        <v>41910</v>
      </c>
      <c r="L9" s="50">
        <f t="shared" ref="L9:L14" si="8">E9-S9</f>
        <v>1064621</v>
      </c>
      <c r="M9" s="79">
        <f t="shared" si="3"/>
        <v>0.55528353460020652</v>
      </c>
      <c r="N9" s="79">
        <f t="shared" si="4"/>
        <v>-0.14967580012041848</v>
      </c>
      <c r="P9" s="51">
        <v>13259</v>
      </c>
      <c r="Q9" s="51">
        <v>11303</v>
      </c>
      <c r="R9" s="51">
        <v>3909</v>
      </c>
      <c r="S9" s="51">
        <v>71749</v>
      </c>
      <c r="T9" s="80">
        <f t="shared" si="5"/>
        <v>0.17305140228257976</v>
      </c>
      <c r="U9" s="80">
        <f t="shared" si="6"/>
        <v>-0.81520299934493856</v>
      </c>
    </row>
    <row r="10" spans="1:45" x14ac:dyDescent="0.25">
      <c r="A10" s="28" t="s">
        <v>7</v>
      </c>
      <c r="B10" s="81">
        <v>975723</v>
      </c>
      <c r="C10" s="63">
        <v>733293</v>
      </c>
      <c r="D10" s="63">
        <v>105593</v>
      </c>
      <c r="E10" s="63">
        <v>1204966</v>
      </c>
      <c r="F10" s="76">
        <f t="shared" si="1"/>
        <v>0.33060454688644247</v>
      </c>
      <c r="G10" s="76">
        <f t="shared" si="2"/>
        <v>-0.19024852153504745</v>
      </c>
      <c r="I10" s="49">
        <f t="shared" si="0"/>
        <v>961473</v>
      </c>
      <c r="J10" s="49">
        <f t="shared" si="7"/>
        <v>720482</v>
      </c>
      <c r="K10" s="49">
        <v>105593</v>
      </c>
      <c r="L10" s="49">
        <f t="shared" si="8"/>
        <v>1131736</v>
      </c>
      <c r="M10" s="78">
        <f t="shared" si="3"/>
        <v>0.33448580255995286</v>
      </c>
      <c r="N10" s="78">
        <f t="shared" si="4"/>
        <v>-0.15044409650307133</v>
      </c>
      <c r="P10" s="49">
        <v>14250</v>
      </c>
      <c r="Q10" s="49">
        <v>12811</v>
      </c>
      <c r="R10" s="49">
        <v>0</v>
      </c>
      <c r="S10" s="49">
        <v>73230</v>
      </c>
      <c r="T10" s="78">
        <f t="shared" si="5"/>
        <v>0.11232534540629158</v>
      </c>
      <c r="U10" s="78">
        <f t="shared" si="6"/>
        <v>-0.8054076198279394</v>
      </c>
    </row>
    <row r="11" spans="1:45" x14ac:dyDescent="0.25">
      <c r="A11" s="36" t="s">
        <v>8</v>
      </c>
      <c r="B11" s="82">
        <v>1059639</v>
      </c>
      <c r="C11" s="64">
        <v>815935</v>
      </c>
      <c r="D11" s="64">
        <v>255052</v>
      </c>
      <c r="E11" s="64">
        <v>1221824</v>
      </c>
      <c r="F11" s="77">
        <f t="shared" si="1"/>
        <v>0.29868065470901484</v>
      </c>
      <c r="G11" s="77">
        <f t="shared" si="2"/>
        <v>-0.13274006730920329</v>
      </c>
      <c r="I11" s="50">
        <f t="shared" si="0"/>
        <v>1046927</v>
      </c>
      <c r="J11" s="50">
        <f>C11-Q11</f>
        <v>802141</v>
      </c>
      <c r="K11" s="50">
        <v>255052</v>
      </c>
      <c r="L11" s="50">
        <f t="shared" si="8"/>
        <v>1142830</v>
      </c>
      <c r="M11" s="79">
        <f t="shared" si="3"/>
        <v>0.30516580002767602</v>
      </c>
      <c r="N11" s="79">
        <f t="shared" si="4"/>
        <v>-8.3917118031553217E-2</v>
      </c>
      <c r="P11" s="51">
        <v>12712</v>
      </c>
      <c r="Q11" s="51">
        <v>13794</v>
      </c>
      <c r="R11" s="51">
        <v>0</v>
      </c>
      <c r="S11" s="51">
        <v>78994</v>
      </c>
      <c r="T11" s="80">
        <f t="shared" si="5"/>
        <v>-7.8439901406408552E-2</v>
      </c>
      <c r="U11" s="80">
        <f t="shared" si="6"/>
        <v>-0.83907638554826947</v>
      </c>
    </row>
    <row r="12" spans="1:45" x14ac:dyDescent="0.25">
      <c r="A12" s="28" t="s">
        <v>9</v>
      </c>
      <c r="B12" s="81">
        <v>1118213</v>
      </c>
      <c r="C12" s="63">
        <v>893736</v>
      </c>
      <c r="D12" s="63">
        <v>341831</v>
      </c>
      <c r="E12" s="63">
        <v>1233165</v>
      </c>
      <c r="F12" s="76">
        <f t="shared" si="1"/>
        <v>0.25116701128744956</v>
      </c>
      <c r="G12" s="76">
        <f t="shared" si="2"/>
        <v>-9.3217047191576197E-2</v>
      </c>
      <c r="I12" s="49">
        <f t="shared" si="0"/>
        <v>1100959</v>
      </c>
      <c r="J12" s="49">
        <f t="shared" si="7"/>
        <v>878398</v>
      </c>
      <c r="K12" s="49">
        <f t="shared" ref="K12:K17" si="9">D12-R12</f>
        <v>333422</v>
      </c>
      <c r="L12" s="49">
        <f t="shared" si="8"/>
        <v>1150194</v>
      </c>
      <c r="M12" s="78">
        <f t="shared" si="3"/>
        <v>0.2533714785325103</v>
      </c>
      <c r="N12" s="78">
        <f t="shared" si="4"/>
        <v>-4.2805822322147358E-2</v>
      </c>
      <c r="P12" s="49">
        <v>17254</v>
      </c>
      <c r="Q12" s="49">
        <v>15338</v>
      </c>
      <c r="R12" s="49">
        <v>8409</v>
      </c>
      <c r="S12" s="49">
        <v>82971</v>
      </c>
      <c r="T12" s="78">
        <f t="shared" si="5"/>
        <v>0.12491850306428476</v>
      </c>
      <c r="U12" s="78">
        <f t="shared" si="6"/>
        <v>-0.7920478239384845</v>
      </c>
    </row>
    <row r="13" spans="1:45" x14ac:dyDescent="0.25">
      <c r="A13" s="36" t="s">
        <v>10</v>
      </c>
      <c r="B13" s="82">
        <v>1086598</v>
      </c>
      <c r="C13" s="64">
        <v>814738</v>
      </c>
      <c r="D13" s="64">
        <v>313296</v>
      </c>
      <c r="E13" s="64">
        <v>1189199</v>
      </c>
      <c r="F13" s="77">
        <f t="shared" si="1"/>
        <v>0.33367782035451898</v>
      </c>
      <c r="G13" s="77">
        <f t="shared" si="2"/>
        <v>-8.6277401847798418E-2</v>
      </c>
      <c r="I13" s="50">
        <f t="shared" si="0"/>
        <v>1067858</v>
      </c>
      <c r="J13" s="50">
        <f t="shared" si="7"/>
        <v>799277</v>
      </c>
      <c r="K13" s="50">
        <f t="shared" si="9"/>
        <v>305012</v>
      </c>
      <c r="L13" s="50">
        <f t="shared" si="8"/>
        <v>1114139</v>
      </c>
      <c r="M13" s="79">
        <f t="shared" si="3"/>
        <v>0.3360299370556139</v>
      </c>
      <c r="N13" s="79">
        <f t="shared" si="4"/>
        <v>-4.1539700163085613E-2</v>
      </c>
      <c r="P13" s="51">
        <v>18740</v>
      </c>
      <c r="Q13" s="51">
        <v>15461</v>
      </c>
      <c r="R13" s="51">
        <v>8284</v>
      </c>
      <c r="S13" s="51">
        <v>75060</v>
      </c>
      <c r="T13" s="80">
        <f t="shared" si="5"/>
        <v>0.21208201280641625</v>
      </c>
      <c r="U13" s="80">
        <f t="shared" si="6"/>
        <v>-0.75033306687982948</v>
      </c>
    </row>
    <row r="14" spans="1:45" s="34" customFormat="1" x14ac:dyDescent="0.25">
      <c r="A14" s="31" t="s">
        <v>11</v>
      </c>
      <c r="B14" s="31"/>
      <c r="C14" s="63">
        <v>762579</v>
      </c>
      <c r="D14" s="63">
        <v>320462</v>
      </c>
      <c r="E14" s="63">
        <v>1125752</v>
      </c>
      <c r="F14" s="76">
        <f t="shared" si="1"/>
        <v>-1</v>
      </c>
      <c r="G14" s="76">
        <f t="shared" si="2"/>
        <v>-1</v>
      </c>
      <c r="H14" s="26"/>
      <c r="I14" s="49"/>
      <c r="J14" s="49">
        <f t="shared" si="7"/>
        <v>750656</v>
      </c>
      <c r="K14" s="49">
        <f t="shared" si="9"/>
        <v>312315</v>
      </c>
      <c r="L14" s="49">
        <f t="shared" si="8"/>
        <v>1062476</v>
      </c>
      <c r="M14" s="78">
        <f t="shared" si="3"/>
        <v>-1</v>
      </c>
      <c r="N14" s="78">
        <f t="shared" si="4"/>
        <v>-1</v>
      </c>
      <c r="O14" s="33"/>
      <c r="P14" s="49"/>
      <c r="Q14" s="49">
        <v>11923</v>
      </c>
      <c r="R14" s="49">
        <v>8147</v>
      </c>
      <c r="S14" s="49">
        <v>63276</v>
      </c>
      <c r="T14" s="78">
        <f>P14/Q14-1</f>
        <v>-1</v>
      </c>
      <c r="U14" s="78">
        <f t="shared" si="6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v>825833</v>
      </c>
      <c r="D15" s="64">
        <v>363952</v>
      </c>
      <c r="E15" s="64">
        <v>1124507</v>
      </c>
      <c r="F15" s="77">
        <f t="shared" si="1"/>
        <v>-1</v>
      </c>
      <c r="G15" s="77">
        <f t="shared" si="2"/>
        <v>-1</v>
      </c>
      <c r="I15" s="50"/>
      <c r="J15" s="50">
        <f>C15-Q15</f>
        <v>813004</v>
      </c>
      <c r="K15" s="50">
        <f t="shared" si="9"/>
        <v>354367</v>
      </c>
      <c r="L15" s="50">
        <f>E15-S15</f>
        <v>1059853</v>
      </c>
      <c r="M15" s="79">
        <f t="shared" si="3"/>
        <v>-1</v>
      </c>
      <c r="N15" s="79">
        <f t="shared" si="4"/>
        <v>-1</v>
      </c>
      <c r="P15" s="51"/>
      <c r="Q15" s="51">
        <v>12829</v>
      </c>
      <c r="R15" s="51">
        <v>9585</v>
      </c>
      <c r="S15" s="51">
        <v>64654</v>
      </c>
      <c r="T15" s="80">
        <f t="shared" si="5"/>
        <v>-1</v>
      </c>
      <c r="U15" s="80">
        <f t="shared" si="6"/>
        <v>-1</v>
      </c>
    </row>
    <row r="16" spans="1:45" x14ac:dyDescent="0.25">
      <c r="A16" s="28" t="s">
        <v>13</v>
      </c>
      <c r="B16" s="28"/>
      <c r="C16" s="65">
        <v>820305</v>
      </c>
      <c r="D16" s="63">
        <v>352430</v>
      </c>
      <c r="E16" s="63">
        <v>1066656</v>
      </c>
      <c r="F16" s="76">
        <f t="shared" si="1"/>
        <v>-1</v>
      </c>
      <c r="G16" s="76">
        <f t="shared" si="2"/>
        <v>-1</v>
      </c>
      <c r="I16" s="49"/>
      <c r="J16" s="49">
        <f>C16-Q16</f>
        <v>807359</v>
      </c>
      <c r="K16" s="49">
        <f t="shared" si="9"/>
        <v>340364</v>
      </c>
      <c r="L16" s="49">
        <f>E16-S16</f>
        <v>1028898</v>
      </c>
      <c r="M16" s="78">
        <f t="shared" si="3"/>
        <v>-1</v>
      </c>
      <c r="N16" s="78">
        <f t="shared" si="4"/>
        <v>-1</v>
      </c>
      <c r="P16" s="49"/>
      <c r="Q16" s="49">
        <v>12946</v>
      </c>
      <c r="R16" s="49">
        <v>12066</v>
      </c>
      <c r="S16" s="49">
        <v>37758</v>
      </c>
      <c r="T16" s="78">
        <f t="shared" si="5"/>
        <v>-1</v>
      </c>
      <c r="U16" s="78">
        <f t="shared" si="6"/>
        <v>-1</v>
      </c>
    </row>
    <row r="17" spans="1:21" x14ac:dyDescent="0.25">
      <c r="A17" s="36" t="s">
        <v>14</v>
      </c>
      <c r="B17" s="36"/>
      <c r="C17" s="64">
        <v>414984</v>
      </c>
      <c r="D17" s="64">
        <v>320399</v>
      </c>
      <c r="E17" s="64">
        <v>1144702</v>
      </c>
      <c r="F17" s="77">
        <f t="shared" si="1"/>
        <v>-1</v>
      </c>
      <c r="G17" s="77">
        <f t="shared" si="2"/>
        <v>-1</v>
      </c>
      <c r="I17" s="50"/>
      <c r="J17" s="50">
        <f>C17-Q17</f>
        <v>401997</v>
      </c>
      <c r="K17" s="50">
        <f t="shared" si="9"/>
        <v>311328</v>
      </c>
      <c r="L17" s="50">
        <f>E17-S17</f>
        <v>1099859</v>
      </c>
      <c r="M17" s="79">
        <f t="shared" si="3"/>
        <v>-1</v>
      </c>
      <c r="N17" s="79">
        <f t="shared" si="4"/>
        <v>-1</v>
      </c>
      <c r="P17" s="51"/>
      <c r="Q17" s="51">
        <v>12987</v>
      </c>
      <c r="R17" s="51">
        <v>9071</v>
      </c>
      <c r="S17" s="51">
        <v>44843</v>
      </c>
      <c r="T17" s="80">
        <f t="shared" si="5"/>
        <v>-1</v>
      </c>
      <c r="U17" s="80">
        <f t="shared" si="6"/>
        <v>-1</v>
      </c>
    </row>
    <row r="18" spans="1:21" x14ac:dyDescent="0.25">
      <c r="A18" s="28" t="s">
        <v>35</v>
      </c>
      <c r="B18" s="65">
        <f>SUM(B6:B13)</f>
        <v>7249765</v>
      </c>
      <c r="C18" s="65">
        <f t="shared" ref="C18:E18" si="10">SUM(C6:C13)</f>
        <v>4915066</v>
      </c>
      <c r="D18" s="65">
        <f t="shared" si="10"/>
        <v>3264783</v>
      </c>
      <c r="E18" s="65">
        <f t="shared" si="10"/>
        <v>8916794</v>
      </c>
      <c r="F18" s="76">
        <f>B18/C18-1</f>
        <v>0.47500867740128006</v>
      </c>
      <c r="G18" s="76">
        <f t="shared" si="2"/>
        <v>-0.18695385359356742</v>
      </c>
      <c r="I18" s="65">
        <f>SUM(I6:I13)</f>
        <v>7127748</v>
      </c>
      <c r="J18" s="65">
        <f t="shared" ref="J18:L18" si="11">SUM(J6:J13)</f>
        <v>4818570</v>
      </c>
      <c r="K18" s="65">
        <f t="shared" si="11"/>
        <v>3164728</v>
      </c>
      <c r="L18" s="65">
        <f t="shared" si="11"/>
        <v>8391380</v>
      </c>
      <c r="M18" s="76">
        <f>I18/J18-1</f>
        <v>0.47922474925133396</v>
      </c>
      <c r="N18" s="76">
        <f t="shared" si="4"/>
        <v>-0.15058691180711636</v>
      </c>
      <c r="P18" s="65">
        <f>SUM(P6:P13)</f>
        <v>122017</v>
      </c>
      <c r="Q18" s="65">
        <f t="shared" ref="Q18:S18" si="12">SUM(Q6:Q13)</f>
        <v>96496</v>
      </c>
      <c r="R18" s="65">
        <f t="shared" si="12"/>
        <v>100055</v>
      </c>
      <c r="S18" s="65">
        <f t="shared" si="12"/>
        <v>525414</v>
      </c>
      <c r="T18" s="76">
        <f>P18/Q18-1</f>
        <v>0.26447728403249871</v>
      </c>
      <c r="U18" s="76">
        <f t="shared" si="6"/>
        <v>-0.76776979676978541</v>
      </c>
    </row>
    <row r="19" spans="1:21" x14ac:dyDescent="0.25">
      <c r="T19" s="26" t="s">
        <v>48</v>
      </c>
    </row>
    <row r="20" spans="1:21" x14ac:dyDescent="0.25">
      <c r="A20" s="30" t="s">
        <v>40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AF00"/>
    <pageSetUpPr fitToPage="1"/>
  </sheetPr>
  <dimension ref="A1:AS23"/>
  <sheetViews>
    <sheetView topLeftCell="C1" zoomScaleNormal="100" zoomScaleSheetLayoutView="90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v>711300</v>
      </c>
      <c r="C6" s="63">
        <v>352548</v>
      </c>
      <c r="D6" s="63">
        <f t="shared" ref="D6:E8" si="0">SUM(K6,R6)</f>
        <v>990342</v>
      </c>
      <c r="E6" s="63">
        <f t="shared" si="0"/>
        <v>872332</v>
      </c>
      <c r="F6" s="76">
        <f>B6/C6-1</f>
        <v>1.0175976037305556</v>
      </c>
      <c r="G6" s="76">
        <f>B6/E6-1</f>
        <v>-0.18459944149704466</v>
      </c>
      <c r="I6" s="49">
        <f>B6-P6</f>
        <v>682119</v>
      </c>
      <c r="J6" s="49">
        <f>C6-Q6</f>
        <v>330100</v>
      </c>
      <c r="K6" s="49">
        <f>430887+48578+430582+48237</f>
        <v>958284</v>
      </c>
      <c r="L6" s="49">
        <f>398954+K41097+128+403913+40137+128</f>
        <v>843260</v>
      </c>
      <c r="M6" s="78">
        <f>I6/J6-1</f>
        <v>1.0664010905786125</v>
      </c>
      <c r="N6" s="78">
        <f>I6/L6-1</f>
        <v>-0.19109290135901147</v>
      </c>
      <c r="P6" s="49">
        <f>13348+15833</f>
        <v>29181</v>
      </c>
      <c r="Q6" s="49">
        <f>9169+13279</f>
        <v>22448</v>
      </c>
      <c r="R6" s="49">
        <f>16472+15586</f>
        <v>32058</v>
      </c>
      <c r="S6" s="49">
        <f>15477+13595</f>
        <v>29072</v>
      </c>
      <c r="T6" s="78">
        <f>P6/Q6-1</f>
        <v>0.29993763364219528</v>
      </c>
      <c r="U6" s="78">
        <f>P6/S6-1</f>
        <v>3.7493120528342416E-3</v>
      </c>
    </row>
    <row r="7" spans="1:45" x14ac:dyDescent="0.25">
      <c r="A7" s="36" t="s">
        <v>4</v>
      </c>
      <c r="B7" s="64">
        <v>740663</v>
      </c>
      <c r="C7" s="64">
        <f t="shared" ref="C7:C13" si="1">SUM(J7,Q7)</f>
        <v>367166</v>
      </c>
      <c r="D7" s="64">
        <f t="shared" si="0"/>
        <v>934469</v>
      </c>
      <c r="E7" s="64">
        <f t="shared" si="0"/>
        <v>860854</v>
      </c>
      <c r="F7" s="77">
        <f t="shared" ref="F7:F17" si="2">B7/C7-1</f>
        <v>1.0172428819661952</v>
      </c>
      <c r="G7" s="77">
        <f t="shared" ref="G7:G18" si="3">B7/E7-1</f>
        <v>-0.13961833249308242</v>
      </c>
      <c r="I7" s="50">
        <f>B7-P7</f>
        <v>716971</v>
      </c>
      <c r="J7" s="50">
        <f>168969+9596+166512+9290</f>
        <v>354367</v>
      </c>
      <c r="K7" s="50">
        <f>407767+47553+407814+47780</f>
        <v>910914</v>
      </c>
      <c r="L7" s="50">
        <f>378478+40549+109+377760+38688+42</f>
        <v>835626</v>
      </c>
      <c r="M7" s="79">
        <f t="shared" ref="M7:M17" si="4">I7/J7-1</f>
        <v>1.0232442637153008</v>
      </c>
      <c r="N7" s="79">
        <f t="shared" ref="N7:N18" si="5">I7/L7-1</f>
        <v>-0.14199534241395073</v>
      </c>
      <c r="P7" s="51">
        <f>11029+12663</f>
        <v>23692</v>
      </c>
      <c r="Q7" s="51">
        <f>5264+7535</f>
        <v>12799</v>
      </c>
      <c r="R7" s="51">
        <f>11199+12356</f>
        <v>23555</v>
      </c>
      <c r="S7" s="51">
        <f>11549+13679</f>
        <v>25228</v>
      </c>
      <c r="T7" s="80">
        <f t="shared" ref="T7:T17" si="6">P7/Q7-1</f>
        <v>0.85108211579029613</v>
      </c>
      <c r="U7" s="80">
        <f t="shared" ref="U7:U18" si="7">P7/S7-1</f>
        <v>-6.088473125099092E-2</v>
      </c>
    </row>
    <row r="8" spans="1:45" x14ac:dyDescent="0.25">
      <c r="A8" s="28" t="s">
        <v>5</v>
      </c>
      <c r="B8" s="63">
        <f>I8+P8</f>
        <v>955562</v>
      </c>
      <c r="C8" s="63">
        <f t="shared" si="1"/>
        <v>577212</v>
      </c>
      <c r="D8" s="63">
        <f t="shared" si="0"/>
        <v>527890</v>
      </c>
      <c r="E8" s="63">
        <f t="shared" si="0"/>
        <v>1047798</v>
      </c>
      <c r="F8" s="76">
        <f t="shared" si="2"/>
        <v>0.65547840308240302</v>
      </c>
      <c r="G8" s="76">
        <f t="shared" si="3"/>
        <v>-8.8028417691196181E-2</v>
      </c>
      <c r="I8" s="49">
        <f>424522+40730+317+421033+40542+338</f>
        <v>927482</v>
      </c>
      <c r="J8" s="49">
        <f>270168+14241+45+261497+13451+45</f>
        <v>559447</v>
      </c>
      <c r="K8" s="49">
        <f>218889+27508+237024+29360</f>
        <v>512781</v>
      </c>
      <c r="L8" s="49">
        <f>459180+51711+44+459536+50494+110</f>
        <v>1021075</v>
      </c>
      <c r="M8" s="78">
        <f t="shared" si="4"/>
        <v>0.65785498894443983</v>
      </c>
      <c r="N8" s="78">
        <f t="shared" si="5"/>
        <v>-9.1661239380065096E-2</v>
      </c>
      <c r="P8" s="49">
        <f>13377+14703</f>
        <v>28080</v>
      </c>
      <c r="Q8" s="49">
        <f>8610+9155</f>
        <v>17765</v>
      </c>
      <c r="R8" s="49">
        <f>6588+8521</f>
        <v>15109</v>
      </c>
      <c r="S8" s="49">
        <f>12430+14293</f>
        <v>26723</v>
      </c>
      <c r="T8" s="78">
        <f t="shared" si="6"/>
        <v>0.5806360821840697</v>
      </c>
      <c r="U8" s="78">
        <f t="shared" si="7"/>
        <v>5.0780226770946291E-2</v>
      </c>
    </row>
    <row r="9" spans="1:45" x14ac:dyDescent="0.25">
      <c r="A9" s="36" t="s">
        <v>6</v>
      </c>
      <c r="B9" s="64">
        <v>1028228</v>
      </c>
      <c r="C9" s="64">
        <f t="shared" si="1"/>
        <v>679228</v>
      </c>
      <c r="D9" s="64">
        <f>K9+R9</f>
        <v>69312</v>
      </c>
      <c r="E9" s="64">
        <f>SUM(L9,S9)</f>
        <v>1079861</v>
      </c>
      <c r="F9" s="77">
        <f t="shared" si="2"/>
        <v>0.51381862938512546</v>
      </c>
      <c r="G9" s="77">
        <f t="shared" si="3"/>
        <v>-4.7814487234931202E-2</v>
      </c>
      <c r="I9" s="50">
        <f>B9-P9</f>
        <v>998629</v>
      </c>
      <c r="J9" s="50">
        <f>305972+20942+112+309975+20468+112</f>
        <v>657581</v>
      </c>
      <c r="K9" s="50">
        <f>29691+3426+30612+3546</f>
        <v>67275</v>
      </c>
      <c r="L9" s="50">
        <f>477772+49385+103+477511+47482+103</f>
        <v>1052356</v>
      </c>
      <c r="M9" s="79">
        <f t="shared" si="4"/>
        <v>0.51864028918110461</v>
      </c>
      <c r="N9" s="79">
        <f t="shared" si="5"/>
        <v>-5.1054015941373487E-2</v>
      </c>
      <c r="P9" s="51">
        <f>14173+15426</f>
        <v>29599</v>
      </c>
      <c r="Q9" s="51">
        <f>11344+10303</f>
        <v>21647</v>
      </c>
      <c r="R9" s="51">
        <f>1169+868</f>
        <v>2037</v>
      </c>
      <c r="S9" s="51">
        <f>13001+14504</f>
        <v>27505</v>
      </c>
      <c r="T9" s="80">
        <f t="shared" si="6"/>
        <v>0.36734882431745741</v>
      </c>
      <c r="U9" s="80">
        <f t="shared" si="7"/>
        <v>7.6131612434102935E-2</v>
      </c>
    </row>
    <row r="10" spans="1:45" x14ac:dyDescent="0.25">
      <c r="A10" s="28" t="s">
        <v>7</v>
      </c>
      <c r="B10" s="63">
        <v>1122453</v>
      </c>
      <c r="C10" s="63">
        <f t="shared" si="1"/>
        <v>831094</v>
      </c>
      <c r="D10" s="63">
        <f>73953+73594</f>
        <v>147547</v>
      </c>
      <c r="E10" s="63">
        <f>SUM(L10,S10)</f>
        <v>1152815</v>
      </c>
      <c r="F10" s="76">
        <f t="shared" si="2"/>
        <v>0.35057285938774685</v>
      </c>
      <c r="G10" s="76">
        <f t="shared" si="3"/>
        <v>-2.6337270073689134E-2</v>
      </c>
      <c r="I10" s="49">
        <f>B10-P10</f>
        <v>1094894</v>
      </c>
      <c r="J10" s="49">
        <f>371751+27484+45+375101+45+27446</f>
        <v>801872</v>
      </c>
      <c r="K10" s="49">
        <f>66659+7294+66722+6872</f>
        <v>147547</v>
      </c>
      <c r="L10" s="49">
        <f>504648+510617+55824+54116+68+63</f>
        <v>1125336</v>
      </c>
      <c r="M10" s="78">
        <f t="shared" si="4"/>
        <v>0.36542241155695665</v>
      </c>
      <c r="N10" s="78">
        <f t="shared" si="5"/>
        <v>-2.7051476181336076E-2</v>
      </c>
      <c r="P10" s="49">
        <f>13506+14053</f>
        <v>27559</v>
      </c>
      <c r="Q10" s="49">
        <f>14496+14726</f>
        <v>29222</v>
      </c>
      <c r="R10" s="49">
        <v>0</v>
      </c>
      <c r="S10" s="49">
        <f>13314+14165</f>
        <v>27479</v>
      </c>
      <c r="T10" s="78">
        <f t="shared" si="6"/>
        <v>-5.6909178016562811E-2</v>
      </c>
      <c r="U10" s="78">
        <f t="shared" si="7"/>
        <v>2.9113140943992644E-3</v>
      </c>
    </row>
    <row r="11" spans="1:45" x14ac:dyDescent="0.25">
      <c r="A11" s="36" t="s">
        <v>8</v>
      </c>
      <c r="B11" s="64">
        <f>I11+P11</f>
        <v>1129152</v>
      </c>
      <c r="C11" s="64">
        <f t="shared" si="1"/>
        <v>981378</v>
      </c>
      <c r="D11" s="64">
        <f>K11+R11</f>
        <v>299175</v>
      </c>
      <c r="E11" s="64">
        <f>SUM(L11,S11)</f>
        <v>1178297</v>
      </c>
      <c r="F11" s="77">
        <f t="shared" si="2"/>
        <v>0.15057806472123891</v>
      </c>
      <c r="G11" s="77">
        <f t="shared" si="3"/>
        <v>-4.1708499639734331E-2</v>
      </c>
      <c r="I11" s="50">
        <f>506514+48949+493633+47433</f>
        <v>1096529</v>
      </c>
      <c r="J11" s="50">
        <f>438809+41888+429659+40623</f>
        <v>950979</v>
      </c>
      <c r="K11" s="50">
        <f>138026+9228+136465+8777</f>
        <v>292496</v>
      </c>
      <c r="L11" s="50">
        <f>525845+52831+46+516975+48+50786</f>
        <v>1146531</v>
      </c>
      <c r="M11" s="79">
        <f t="shared" si="4"/>
        <v>0.15305280137626598</v>
      </c>
      <c r="N11" s="79">
        <f t="shared" si="5"/>
        <v>-4.3611555204351227E-2</v>
      </c>
      <c r="P11" s="51">
        <f>15149+17474</f>
        <v>32623</v>
      </c>
      <c r="Q11" s="51">
        <f>15015+15384</f>
        <v>30399</v>
      </c>
      <c r="R11" s="51">
        <f>3531+3148</f>
        <v>6679</v>
      </c>
      <c r="S11" s="51">
        <f>17023+14743</f>
        <v>31766</v>
      </c>
      <c r="T11" s="80">
        <f t="shared" si="6"/>
        <v>7.3160301325701393E-2</v>
      </c>
      <c r="U11" s="80">
        <f t="shared" si="7"/>
        <v>2.697853050431287E-2</v>
      </c>
    </row>
    <row r="12" spans="1:45" x14ac:dyDescent="0.25">
      <c r="A12" s="28" t="s">
        <v>9</v>
      </c>
      <c r="B12" s="63">
        <f t="shared" ref="B12:B13" si="8">I12+P12</f>
        <v>1195870</v>
      </c>
      <c r="C12" s="63">
        <f t="shared" si="1"/>
        <v>1081028</v>
      </c>
      <c r="D12" s="63">
        <f>K12+R12</f>
        <v>406768</v>
      </c>
      <c r="E12" s="63">
        <f>SUM(L12,S12)</f>
        <v>1230606</v>
      </c>
      <c r="F12" s="76">
        <f t="shared" si="2"/>
        <v>0.10623406609264507</v>
      </c>
      <c r="G12" s="76">
        <f t="shared" si="3"/>
        <v>-2.8226743571866164E-2</v>
      </c>
      <c r="I12" s="49">
        <f>533428+43792+537656+43419</f>
        <v>1158295</v>
      </c>
      <c r="J12" s="49">
        <f>479205+44277+478080+43313</f>
        <v>1044875</v>
      </c>
      <c r="K12" s="49">
        <f>187165+9208+186915+9298</f>
        <v>392586</v>
      </c>
      <c r="L12" s="49">
        <f>544016+52374+68+546220+53453+68</f>
        <v>1196199</v>
      </c>
      <c r="M12" s="78">
        <f t="shared" si="4"/>
        <v>0.10854886948199538</v>
      </c>
      <c r="N12" s="78">
        <f t="shared" si="5"/>
        <v>-3.1687035351141368E-2</v>
      </c>
      <c r="P12" s="49">
        <f>18473+19102</f>
        <v>37575</v>
      </c>
      <c r="Q12" s="49">
        <f>17617+18536</f>
        <v>36153</v>
      </c>
      <c r="R12" s="49">
        <f>6878+7304</f>
        <v>14182</v>
      </c>
      <c r="S12" s="49">
        <f>16893+17514</f>
        <v>34407</v>
      </c>
      <c r="T12" s="78">
        <f t="shared" si="6"/>
        <v>3.9332835449340298E-2</v>
      </c>
      <c r="U12" s="78">
        <f t="shared" si="7"/>
        <v>9.2074287208998129E-2</v>
      </c>
    </row>
    <row r="13" spans="1:45" x14ac:dyDescent="0.25">
      <c r="A13" s="36" t="s">
        <v>10</v>
      </c>
      <c r="B13" s="64">
        <f t="shared" si="8"/>
        <v>1133169</v>
      </c>
      <c r="C13" s="64">
        <f t="shared" si="1"/>
        <v>984424</v>
      </c>
      <c r="D13" s="64">
        <f>K13+R13</f>
        <v>423340</v>
      </c>
      <c r="E13" s="64">
        <v>1186403</v>
      </c>
      <c r="F13" s="77">
        <f t="shared" si="2"/>
        <v>0.15109851039795852</v>
      </c>
      <c r="G13" s="77">
        <f t="shared" si="3"/>
        <v>-4.4870082088463992E-2</v>
      </c>
      <c r="I13" s="50">
        <f>510590+35191+520523+35799</f>
        <v>1102103</v>
      </c>
      <c r="J13" s="50">
        <f>432144+37795+103+444051+40700+36</f>
        <v>954829</v>
      </c>
      <c r="K13" s="50">
        <f>192354+11685+26+192411+12307+57</f>
        <v>408840</v>
      </c>
      <c r="L13" s="50">
        <f>E13-S13</f>
        <v>1157574</v>
      </c>
      <c r="M13" s="79">
        <f t="shared" si="4"/>
        <v>0.15424123062873041</v>
      </c>
      <c r="N13" s="79">
        <f t="shared" si="5"/>
        <v>-4.7920046580175457E-2</v>
      </c>
      <c r="P13" s="51">
        <f>13639+17427</f>
        <v>31066</v>
      </c>
      <c r="Q13" s="51">
        <f>12436+17159</f>
        <v>29595</v>
      </c>
      <c r="R13" s="51">
        <f>6274+8226</f>
        <v>14500</v>
      </c>
      <c r="S13" s="51">
        <f>13168+15661</f>
        <v>28829</v>
      </c>
      <c r="T13" s="80">
        <f t="shared" si="6"/>
        <v>4.9704341949653674E-2</v>
      </c>
      <c r="U13" s="80">
        <f t="shared" si="7"/>
        <v>7.7595476776856742E-2</v>
      </c>
    </row>
    <row r="14" spans="1:45" s="34" customFormat="1" x14ac:dyDescent="0.25">
      <c r="A14" s="31" t="s">
        <v>11</v>
      </c>
      <c r="B14" s="31"/>
      <c r="C14" s="63">
        <v>916525</v>
      </c>
      <c r="D14" s="63">
        <v>416608</v>
      </c>
      <c r="E14" s="63">
        <f>SUM(L14,S14)</f>
        <v>1109543</v>
      </c>
      <c r="F14" s="76">
        <f t="shared" si="2"/>
        <v>-1</v>
      </c>
      <c r="G14" s="76">
        <f t="shared" si="3"/>
        <v>-1</v>
      </c>
      <c r="H14" s="26"/>
      <c r="I14" s="49"/>
      <c r="J14" s="49">
        <f>411375+37018+89+407063+37137+88</f>
        <v>892770</v>
      </c>
      <c r="K14" s="49">
        <f>D14-R14</f>
        <v>402294</v>
      </c>
      <c r="L14" s="49">
        <f>493945+50158+491268+50936+54+54</f>
        <v>1086415</v>
      </c>
      <c r="M14" s="78">
        <f t="shared" si="4"/>
        <v>-1</v>
      </c>
      <c r="N14" s="78">
        <f t="shared" si="5"/>
        <v>-1</v>
      </c>
      <c r="O14" s="33"/>
      <c r="P14" s="49"/>
      <c r="Q14" s="49">
        <f>C14-J14</f>
        <v>23755</v>
      </c>
      <c r="R14" s="49">
        <f>7078+7236</f>
        <v>14314</v>
      </c>
      <c r="S14" s="49">
        <f>11839+11289</f>
        <v>23128</v>
      </c>
      <c r="T14" s="78">
        <f>P14/Q14-1</f>
        <v>-1</v>
      </c>
      <c r="U14" s="78">
        <f t="shared" si="7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v>1001487</v>
      </c>
      <c r="D15" s="64">
        <v>476349</v>
      </c>
      <c r="E15" s="64">
        <f>SUM(L15,S15)</f>
        <v>1156907</v>
      </c>
      <c r="F15" s="77">
        <f t="shared" si="2"/>
        <v>-1</v>
      </c>
      <c r="G15" s="77">
        <f t="shared" si="3"/>
        <v>-1</v>
      </c>
      <c r="I15" s="50"/>
      <c r="J15" s="50">
        <f>448606+40300+404+445609+40577+321</f>
        <v>975817</v>
      </c>
      <c r="K15" s="50">
        <f>D15-R15</f>
        <v>460798</v>
      </c>
      <c r="L15" s="50">
        <f>515521+514860+50456+51+50+51102</f>
        <v>1132040</v>
      </c>
      <c r="M15" s="79">
        <f t="shared" si="4"/>
        <v>-1</v>
      </c>
      <c r="N15" s="79">
        <f t="shared" si="5"/>
        <v>-1</v>
      </c>
      <c r="P15" s="51"/>
      <c r="Q15" s="51">
        <f>12472+13198</f>
        <v>25670</v>
      </c>
      <c r="R15" s="51">
        <f>7996+7555</f>
        <v>15551</v>
      </c>
      <c r="S15" s="51">
        <f>13131+11736</f>
        <v>24867</v>
      </c>
      <c r="T15" s="80">
        <f t="shared" si="6"/>
        <v>-1</v>
      </c>
      <c r="U15" s="80">
        <f t="shared" si="7"/>
        <v>-1</v>
      </c>
    </row>
    <row r="16" spans="1:45" x14ac:dyDescent="0.25">
      <c r="A16" s="28" t="s">
        <v>13</v>
      </c>
      <c r="B16" s="28"/>
      <c r="C16" s="63">
        <f>J16+Q16</f>
        <v>970039</v>
      </c>
      <c r="D16" s="63">
        <f>K16+R16</f>
        <v>464430</v>
      </c>
      <c r="E16" s="63">
        <f>SUM(L16,S16)</f>
        <v>1090360</v>
      </c>
      <c r="F16" s="76">
        <f t="shared" si="2"/>
        <v>-1</v>
      </c>
      <c r="G16" s="76">
        <f t="shared" si="3"/>
        <v>-1</v>
      </c>
      <c r="I16" s="49"/>
      <c r="J16" s="49">
        <f>434884+35525+443+437667+35249+557</f>
        <v>944325</v>
      </c>
      <c r="K16" s="49">
        <f>205976+15487+210115+14614</f>
        <v>446192</v>
      </c>
      <c r="L16" s="49">
        <f>483544+48355+63+482386+47875+63</f>
        <v>1062286</v>
      </c>
      <c r="M16" s="78">
        <f t="shared" si="4"/>
        <v>-1</v>
      </c>
      <c r="N16" s="78">
        <f t="shared" si="5"/>
        <v>-1</v>
      </c>
      <c r="P16" s="49"/>
      <c r="Q16" s="49">
        <f>13749+11965</f>
        <v>25714</v>
      </c>
      <c r="R16" s="49">
        <f>8163+10075</f>
        <v>18238</v>
      </c>
      <c r="S16" s="49">
        <f>15463+12611</f>
        <v>28074</v>
      </c>
      <c r="T16" s="78">
        <f t="shared" si="6"/>
        <v>-1</v>
      </c>
      <c r="U16" s="78">
        <f t="shared" si="7"/>
        <v>-1</v>
      </c>
    </row>
    <row r="17" spans="1:21" x14ac:dyDescent="0.25">
      <c r="A17" s="36" t="s">
        <v>14</v>
      </c>
      <c r="B17" s="36"/>
      <c r="C17" s="64">
        <f>J17+Q17</f>
        <v>958931</v>
      </c>
      <c r="D17" s="64">
        <f>SUM(K17,R17)</f>
        <v>426138</v>
      </c>
      <c r="E17" s="64">
        <f>SUM(L17,S17)</f>
        <v>1162890</v>
      </c>
      <c r="F17" s="77">
        <f t="shared" si="2"/>
        <v>-1</v>
      </c>
      <c r="G17" s="77">
        <f t="shared" si="3"/>
        <v>-1</v>
      </c>
      <c r="I17" s="50"/>
      <c r="J17" s="50">
        <f>436550+29487+407+434938+28852+406</f>
        <v>930640</v>
      </c>
      <c r="K17" s="50">
        <f>189631+13943+39+186539+13263+38</f>
        <v>403453</v>
      </c>
      <c r="L17" s="50">
        <f>514799+50362+84+516083+47943+52</f>
        <v>1129323</v>
      </c>
      <c r="M17" s="79">
        <f t="shared" si="4"/>
        <v>-1</v>
      </c>
      <c r="N17" s="79">
        <f t="shared" si="5"/>
        <v>-1</v>
      </c>
      <c r="P17" s="51"/>
      <c r="Q17" s="51">
        <f>16088+12203</f>
        <v>28291</v>
      </c>
      <c r="R17" s="51">
        <f>8262+14423</f>
        <v>22685</v>
      </c>
      <c r="S17" s="51">
        <f>18762+14805</f>
        <v>33567</v>
      </c>
      <c r="T17" s="80">
        <f t="shared" si="6"/>
        <v>-1</v>
      </c>
      <c r="U17" s="80">
        <f t="shared" si="7"/>
        <v>-1</v>
      </c>
    </row>
    <row r="18" spans="1:21" x14ac:dyDescent="0.25">
      <c r="A18" s="28" t="s">
        <v>28</v>
      </c>
      <c r="B18" s="65">
        <f>SUM(B6:B13)</f>
        <v>8016397</v>
      </c>
      <c r="C18" s="65">
        <f t="shared" ref="C18:E18" si="9">SUM(C6:C13)</f>
        <v>5854078</v>
      </c>
      <c r="D18" s="65">
        <f t="shared" si="9"/>
        <v>3798843</v>
      </c>
      <c r="E18" s="65">
        <f t="shared" si="9"/>
        <v>8608966</v>
      </c>
      <c r="F18" s="76">
        <f>B18/C18-1</f>
        <v>0.3693696940833382</v>
      </c>
      <c r="G18" s="76">
        <f t="shared" si="3"/>
        <v>-6.8831611136575543E-2</v>
      </c>
      <c r="I18" s="65">
        <f>SUM(I6:I13)</f>
        <v>7777022</v>
      </c>
      <c r="J18" s="65">
        <f t="shared" ref="J18:L18" si="10">SUM(J6:J13)</f>
        <v>5654050</v>
      </c>
      <c r="K18" s="65">
        <f t="shared" si="10"/>
        <v>3690723</v>
      </c>
      <c r="L18" s="65">
        <f t="shared" si="10"/>
        <v>8377957</v>
      </c>
      <c r="M18" s="76">
        <f>I18/J18-1</f>
        <v>0.3754781086124106</v>
      </c>
      <c r="N18" s="76">
        <f t="shared" si="5"/>
        <v>-7.17281074610433E-2</v>
      </c>
      <c r="P18" s="65">
        <f>SUM(P6:P13)</f>
        <v>239375</v>
      </c>
      <c r="Q18" s="65">
        <f t="shared" ref="Q18:S18" si="11">SUM(Q6:Q13)</f>
        <v>200028</v>
      </c>
      <c r="R18" s="65">
        <f t="shared" si="11"/>
        <v>108120</v>
      </c>
      <c r="S18" s="65">
        <f t="shared" si="11"/>
        <v>231009</v>
      </c>
      <c r="T18" s="76">
        <f>P18/Q18-1</f>
        <v>0.19670746095546621</v>
      </c>
      <c r="U18" s="76">
        <f t="shared" si="7"/>
        <v>3.6215039240895308E-2</v>
      </c>
    </row>
    <row r="19" spans="1:21" x14ac:dyDescent="0.25">
      <c r="E19" s="26" t="s">
        <v>48</v>
      </c>
    </row>
    <row r="20" spans="1:21" x14ac:dyDescent="0.25">
      <c r="A20" s="30" t="s">
        <v>43</v>
      </c>
      <c r="B20" s="30"/>
      <c r="C20" s="30"/>
      <c r="D20" s="42"/>
      <c r="L20" s="29"/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</sheetData>
  <mergeCells count="4">
    <mergeCell ref="A1:T1"/>
    <mergeCell ref="B3:G3"/>
    <mergeCell ref="I3:N3"/>
    <mergeCell ref="P3:U3"/>
  </mergeCells>
  <phoneticPr fontId="17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AS24"/>
  <sheetViews>
    <sheetView topLeftCell="C1" zoomScaleNormal="100" zoomScaleSheetLayoutView="100" workbookViewId="0">
      <selection activeCell="P18" sqref="P18:S18"/>
    </sheetView>
  </sheetViews>
  <sheetFormatPr baseColWidth="10" defaultColWidth="8.83203125" defaultRowHeight="19" x14ac:dyDescent="0.25"/>
  <cols>
    <col min="1" max="21" width="13.83203125" style="26" customWidth="1"/>
  </cols>
  <sheetData>
    <row r="1" spans="1:45" ht="34" customHeight="1" x14ac:dyDescent="0.2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34"/>
      <c r="W1" s="34"/>
      <c r="X1" s="34"/>
      <c r="Y1" s="34"/>
      <c r="Z1" s="34"/>
      <c r="AA1" s="34"/>
    </row>
    <row r="2" spans="1:45" ht="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34"/>
      <c r="W2" s="34"/>
      <c r="X2" s="34"/>
      <c r="Y2" s="34"/>
      <c r="Z2" s="34"/>
      <c r="AA2" s="34"/>
    </row>
    <row r="3" spans="1:45" x14ac:dyDescent="0.25">
      <c r="B3" s="86" t="s">
        <v>47</v>
      </c>
      <c r="C3" s="86"/>
      <c r="D3" s="86"/>
      <c r="E3" s="86"/>
      <c r="F3" s="86"/>
      <c r="G3" s="87"/>
      <c r="H3" s="39"/>
      <c r="I3" s="88" t="s">
        <v>15</v>
      </c>
      <c r="J3" s="88"/>
      <c r="K3" s="88"/>
      <c r="L3" s="88"/>
      <c r="M3" s="88"/>
      <c r="N3" s="89"/>
      <c r="O3" s="57"/>
      <c r="P3" s="90" t="s">
        <v>16</v>
      </c>
      <c r="Q3" s="90"/>
      <c r="R3" s="90"/>
      <c r="S3" s="90"/>
      <c r="T3" s="90"/>
      <c r="U3" s="91"/>
    </row>
    <row r="4" spans="1:45" ht="40" x14ac:dyDescent="0.25">
      <c r="A4" s="22"/>
      <c r="B4" s="59">
        <v>2022</v>
      </c>
      <c r="C4" s="59">
        <v>2021</v>
      </c>
      <c r="D4" s="59">
        <v>2020</v>
      </c>
      <c r="E4" s="59">
        <v>2019</v>
      </c>
      <c r="F4" s="60" t="s">
        <v>56</v>
      </c>
      <c r="G4" s="60" t="s">
        <v>54</v>
      </c>
      <c r="I4" s="54">
        <v>2022</v>
      </c>
      <c r="J4" s="54">
        <v>2021</v>
      </c>
      <c r="K4" s="54">
        <v>2020</v>
      </c>
      <c r="L4" s="54">
        <v>2019</v>
      </c>
      <c r="M4" s="60" t="s">
        <v>56</v>
      </c>
      <c r="N4" s="60" t="s">
        <v>54</v>
      </c>
      <c r="O4" s="22"/>
      <c r="P4" s="54">
        <v>2022</v>
      </c>
      <c r="Q4" s="54">
        <v>2021</v>
      </c>
      <c r="R4" s="54">
        <v>2020</v>
      </c>
      <c r="S4" s="54">
        <v>2019</v>
      </c>
      <c r="T4" s="60" t="s">
        <v>56</v>
      </c>
      <c r="U4" s="60" t="s">
        <v>54</v>
      </c>
    </row>
    <row r="5" spans="1:45" x14ac:dyDescent="0.25">
      <c r="A5" s="36"/>
      <c r="B5" s="36"/>
      <c r="C5" s="61"/>
      <c r="D5" s="62"/>
      <c r="E5" s="62"/>
      <c r="F5" s="62"/>
      <c r="G5" s="62"/>
      <c r="I5" s="40"/>
      <c r="J5" s="40"/>
      <c r="K5" s="40"/>
      <c r="L5" s="41"/>
      <c r="M5" s="40"/>
      <c r="N5" s="40"/>
      <c r="P5" s="37"/>
      <c r="Q5" s="37"/>
      <c r="R5" s="37"/>
      <c r="S5" s="38"/>
      <c r="T5" s="37"/>
      <c r="U5" s="37"/>
    </row>
    <row r="6" spans="1:45" x14ac:dyDescent="0.25">
      <c r="A6" s="28" t="s">
        <v>3</v>
      </c>
      <c r="B6" s="63">
        <f t="shared" ref="B6:E10" si="0">SUM(I6,P6)</f>
        <v>1173878</v>
      </c>
      <c r="C6" s="63">
        <f t="shared" si="0"/>
        <v>487121</v>
      </c>
      <c r="D6" s="63">
        <f t="shared" si="0"/>
        <v>1906444</v>
      </c>
      <c r="E6" s="63">
        <f t="shared" si="0"/>
        <v>1798735</v>
      </c>
      <c r="F6" s="76">
        <f>B6/C6-1</f>
        <v>1.4098283588677147</v>
      </c>
      <c r="G6" s="76">
        <f>B6/E6-1</f>
        <v>-0.34738691358093332</v>
      </c>
      <c r="H6" s="32"/>
      <c r="I6" s="70">
        <v>1148966</v>
      </c>
      <c r="J6" s="70">
        <v>479216</v>
      </c>
      <c r="K6" s="70">
        <v>1823722</v>
      </c>
      <c r="L6" s="70">
        <v>1717815</v>
      </c>
      <c r="M6" s="78">
        <f>I6/J6-1</f>
        <v>1.3975952388901871</v>
      </c>
      <c r="N6" s="78">
        <f>I6/L6-1</f>
        <v>-0.33114683478721518</v>
      </c>
      <c r="O6" s="32"/>
      <c r="P6" s="70">
        <v>24912</v>
      </c>
      <c r="Q6" s="70">
        <v>7905</v>
      </c>
      <c r="R6" s="70">
        <v>82722</v>
      </c>
      <c r="S6" s="70">
        <v>80920</v>
      </c>
      <c r="T6" s="78">
        <f>P6/Q6-1</f>
        <v>2.1514231499051233</v>
      </c>
      <c r="U6" s="78">
        <f>P6/S6-1</f>
        <v>-0.69214038556599111</v>
      </c>
    </row>
    <row r="7" spans="1:45" x14ac:dyDescent="0.25">
      <c r="A7" s="36" t="s">
        <v>4</v>
      </c>
      <c r="B7" s="64">
        <f t="shared" si="0"/>
        <v>1297541</v>
      </c>
      <c r="C7" s="64">
        <f t="shared" si="0"/>
        <v>501183</v>
      </c>
      <c r="D7" s="64">
        <f t="shared" si="0"/>
        <v>1805960</v>
      </c>
      <c r="E7" s="64">
        <f t="shared" si="0"/>
        <v>1695472</v>
      </c>
      <c r="F7" s="77">
        <f t="shared" ref="F7:F17" si="1">B7/C7-1</f>
        <v>1.5889565288527345</v>
      </c>
      <c r="G7" s="77">
        <f t="shared" ref="G7:G17" si="2">B7/E7-1</f>
        <v>-0.23470219502297884</v>
      </c>
      <c r="H7" s="32"/>
      <c r="I7" s="72">
        <v>1273360</v>
      </c>
      <c r="J7" s="72">
        <v>494204</v>
      </c>
      <c r="K7" s="72">
        <v>1729443</v>
      </c>
      <c r="L7" s="72">
        <v>1623756</v>
      </c>
      <c r="M7" s="79">
        <f t="shared" ref="M7:M17" si="3">I7/J7-1</f>
        <v>1.5765878058453593</v>
      </c>
      <c r="N7" s="79">
        <f t="shared" ref="N7:N18" si="4">I7/L7-1</f>
        <v>-0.21579350592084034</v>
      </c>
      <c r="O7" s="32"/>
      <c r="P7" s="71">
        <v>24181</v>
      </c>
      <c r="Q7" s="71">
        <v>6979</v>
      </c>
      <c r="R7" s="71">
        <v>76517</v>
      </c>
      <c r="S7" s="71">
        <v>71716</v>
      </c>
      <c r="T7" s="80">
        <f t="shared" ref="T7:T17" si="5">P7/Q7-1</f>
        <v>2.4648230405502223</v>
      </c>
      <c r="U7" s="80">
        <f t="shared" ref="U7:U18" si="6">P7/S7-1</f>
        <v>-0.66282280104858049</v>
      </c>
    </row>
    <row r="8" spans="1:45" x14ac:dyDescent="0.25">
      <c r="A8" s="28" t="s">
        <v>5</v>
      </c>
      <c r="B8" s="63">
        <f t="shared" si="0"/>
        <v>1736518</v>
      </c>
      <c r="C8" s="63">
        <f t="shared" ref="C8:D10" si="7">J8+Q8</f>
        <v>872410</v>
      </c>
      <c r="D8" s="63">
        <f t="shared" si="7"/>
        <v>944758</v>
      </c>
      <c r="E8" s="63">
        <f t="shared" ref="E8:E17" si="8">SUM(L8,S8)</f>
        <v>2100970</v>
      </c>
      <c r="F8" s="76">
        <f t="shared" si="1"/>
        <v>0.99048383214314373</v>
      </c>
      <c r="G8" s="76">
        <f t="shared" si="2"/>
        <v>-0.17346844552754204</v>
      </c>
      <c r="H8" s="32"/>
      <c r="I8" s="70">
        <v>1690659</v>
      </c>
      <c r="J8" s="70">
        <v>863233</v>
      </c>
      <c r="K8" s="70">
        <v>905028</v>
      </c>
      <c r="L8" s="70">
        <v>2010711</v>
      </c>
      <c r="M8" s="78">
        <f t="shared" si="3"/>
        <v>0.95851988976325053</v>
      </c>
      <c r="N8" s="78">
        <f t="shared" si="4"/>
        <v>-0.15917354607400069</v>
      </c>
      <c r="O8" s="32"/>
      <c r="P8" s="70">
        <v>45859</v>
      </c>
      <c r="Q8" s="70">
        <v>9177</v>
      </c>
      <c r="R8" s="70">
        <v>39730</v>
      </c>
      <c r="S8" s="70">
        <v>90259</v>
      </c>
      <c r="T8" s="78">
        <f t="shared" si="5"/>
        <v>3.9971668301187755</v>
      </c>
      <c r="U8" s="78">
        <f t="shared" si="6"/>
        <v>-0.49191770349771213</v>
      </c>
    </row>
    <row r="9" spans="1:45" x14ac:dyDescent="0.25">
      <c r="A9" s="36" t="s">
        <v>6</v>
      </c>
      <c r="B9" s="64">
        <f t="shared" si="0"/>
        <v>1842734</v>
      </c>
      <c r="C9" s="64">
        <f t="shared" si="7"/>
        <v>1054246</v>
      </c>
      <c r="D9" s="64">
        <f t="shared" si="7"/>
        <v>74682</v>
      </c>
      <c r="E9" s="64">
        <f t="shared" si="8"/>
        <v>2089139</v>
      </c>
      <c r="F9" s="77">
        <f t="shared" si="1"/>
        <v>0.74791652043261259</v>
      </c>
      <c r="G9" s="77">
        <f t="shared" si="2"/>
        <v>-0.11794571830787703</v>
      </c>
      <c r="H9" s="32"/>
      <c r="I9" s="72">
        <v>1783506</v>
      </c>
      <c r="J9" s="72">
        <v>1041983</v>
      </c>
      <c r="K9" s="72">
        <v>74246</v>
      </c>
      <c r="L9" s="72">
        <v>2002334</v>
      </c>
      <c r="M9" s="79">
        <f t="shared" si="3"/>
        <v>0.7116459673526343</v>
      </c>
      <c r="N9" s="79">
        <f t="shared" si="4"/>
        <v>-0.10928646269803144</v>
      </c>
      <c r="O9" s="32"/>
      <c r="P9" s="71">
        <v>59228</v>
      </c>
      <c r="Q9" s="71">
        <v>12263</v>
      </c>
      <c r="R9" s="71">
        <v>436</v>
      </c>
      <c r="S9" s="71">
        <v>86805</v>
      </c>
      <c r="T9" s="80">
        <f t="shared" si="5"/>
        <v>3.8298132593981897</v>
      </c>
      <c r="U9" s="80">
        <f t="shared" si="6"/>
        <v>-0.31768907321006856</v>
      </c>
    </row>
    <row r="10" spans="1:45" x14ac:dyDescent="0.25">
      <c r="A10" s="28" t="s">
        <v>7</v>
      </c>
      <c r="B10" s="63">
        <f t="shared" si="0"/>
        <v>1917580</v>
      </c>
      <c r="C10" s="63">
        <f t="shared" si="7"/>
        <v>1280253</v>
      </c>
      <c r="D10" s="63">
        <f t="shared" si="7"/>
        <v>192432</v>
      </c>
      <c r="E10" s="63">
        <f t="shared" si="8"/>
        <v>2139175</v>
      </c>
      <c r="F10" s="76">
        <f t="shared" si="1"/>
        <v>0.49781332283540825</v>
      </c>
      <c r="G10" s="76">
        <f t="shared" si="2"/>
        <v>-0.10358900043240971</v>
      </c>
      <c r="H10" s="32"/>
      <c r="I10" s="70">
        <v>1850623</v>
      </c>
      <c r="J10" s="70">
        <v>1267828</v>
      </c>
      <c r="K10" s="70">
        <v>192432</v>
      </c>
      <c r="L10" s="70">
        <v>2055420</v>
      </c>
      <c r="M10" s="78">
        <f t="shared" si="3"/>
        <v>0.45967986193710808</v>
      </c>
      <c r="N10" s="78">
        <f t="shared" si="4"/>
        <v>-9.9637543665041739E-2</v>
      </c>
      <c r="O10" s="32"/>
      <c r="P10" s="70">
        <v>66957</v>
      </c>
      <c r="Q10" s="70">
        <v>12425</v>
      </c>
      <c r="R10" s="70">
        <v>0</v>
      </c>
      <c r="S10" s="70">
        <v>83755</v>
      </c>
      <c r="T10" s="78">
        <f t="shared" si="5"/>
        <v>4.3888933601609654</v>
      </c>
      <c r="U10" s="78">
        <f t="shared" si="6"/>
        <v>-0.20056116052772965</v>
      </c>
    </row>
    <row r="11" spans="1:45" x14ac:dyDescent="0.25">
      <c r="A11" s="36" t="s">
        <v>8</v>
      </c>
      <c r="B11" s="64">
        <f>SUM(I11,P11)</f>
        <v>2068397</v>
      </c>
      <c r="C11" s="64">
        <v>1588699</v>
      </c>
      <c r="D11" s="64">
        <f>K11+R11</f>
        <v>419546</v>
      </c>
      <c r="E11" s="64">
        <f t="shared" si="8"/>
        <v>2286679</v>
      </c>
      <c r="F11" s="77">
        <f t="shared" si="1"/>
        <v>0.30194391763323325</v>
      </c>
      <c r="G11" s="77">
        <f t="shared" si="2"/>
        <v>-9.5458085721695118E-2</v>
      </c>
      <c r="H11" s="32"/>
      <c r="I11" s="72">
        <v>1996704</v>
      </c>
      <c r="J11" s="72">
        <v>1571822</v>
      </c>
      <c r="K11" s="72">
        <v>416489</v>
      </c>
      <c r="L11" s="72">
        <v>2192842</v>
      </c>
      <c r="M11" s="79">
        <f t="shared" si="3"/>
        <v>0.27031177830568609</v>
      </c>
      <c r="N11" s="79">
        <f t="shared" si="4"/>
        <v>-8.9444656751375584E-2</v>
      </c>
      <c r="O11" s="32"/>
      <c r="P11" s="71">
        <v>71693</v>
      </c>
      <c r="Q11" s="71">
        <v>16877</v>
      </c>
      <c r="R11" s="71">
        <v>3057</v>
      </c>
      <c r="S11" s="71">
        <v>93837</v>
      </c>
      <c r="T11" s="80">
        <f t="shared" si="5"/>
        <v>3.2479706108905608</v>
      </c>
      <c r="U11" s="80">
        <f t="shared" si="6"/>
        <v>-0.23598367381736418</v>
      </c>
    </row>
    <row r="12" spans="1:45" x14ac:dyDescent="0.25">
      <c r="A12" s="28" t="s">
        <v>9</v>
      </c>
      <c r="B12" s="63">
        <f>SUM(I12,P12)</f>
        <v>2196684</v>
      </c>
      <c r="C12" s="63">
        <f t="shared" ref="C12:C17" si="9">J12+Q12</f>
        <v>1815101</v>
      </c>
      <c r="D12" s="63">
        <v>610727</v>
      </c>
      <c r="E12" s="63">
        <f t="shared" si="8"/>
        <v>2425302</v>
      </c>
      <c r="F12" s="76">
        <f t="shared" si="1"/>
        <v>0.21022686891803821</v>
      </c>
      <c r="G12" s="76">
        <f t="shared" si="2"/>
        <v>-9.4263724682534411E-2</v>
      </c>
      <c r="H12" s="32"/>
      <c r="I12" s="70">
        <v>2117588</v>
      </c>
      <c r="J12" s="70">
        <v>1798284</v>
      </c>
      <c r="K12" s="70">
        <v>604241</v>
      </c>
      <c r="L12" s="70">
        <v>2317427</v>
      </c>
      <c r="M12" s="78">
        <f t="shared" si="3"/>
        <v>0.17756038534514018</v>
      </c>
      <c r="N12" s="78">
        <f t="shared" si="4"/>
        <v>-8.6233137009277927E-2</v>
      </c>
      <c r="O12" s="32"/>
      <c r="P12" s="70">
        <v>79096</v>
      </c>
      <c r="Q12" s="70">
        <v>16817</v>
      </c>
      <c r="R12" s="70">
        <v>6486</v>
      </c>
      <c r="S12" s="70">
        <v>107875</v>
      </c>
      <c r="T12" s="78">
        <f t="shared" si="5"/>
        <v>3.7033359100909795</v>
      </c>
      <c r="U12" s="78">
        <f t="shared" si="6"/>
        <v>-0.26678099652375431</v>
      </c>
    </row>
    <row r="13" spans="1:45" x14ac:dyDescent="0.25">
      <c r="A13" s="36" t="s">
        <v>10</v>
      </c>
      <c r="B13" s="64">
        <f>SUM(I13,P13)</f>
        <v>2125920</v>
      </c>
      <c r="C13" s="64">
        <f t="shared" si="9"/>
        <v>1703987</v>
      </c>
      <c r="D13" s="64">
        <v>666601</v>
      </c>
      <c r="E13" s="64">
        <f t="shared" si="8"/>
        <v>2342812</v>
      </c>
      <c r="F13" s="77">
        <f t="shared" si="1"/>
        <v>0.24761515199353057</v>
      </c>
      <c r="G13" s="77">
        <f t="shared" si="2"/>
        <v>-9.2577637471551233E-2</v>
      </c>
      <c r="H13" s="32"/>
      <c r="I13" s="72">
        <v>2050510</v>
      </c>
      <c r="J13" s="72">
        <v>1687270</v>
      </c>
      <c r="K13" s="72">
        <v>659718</v>
      </c>
      <c r="L13" s="72">
        <v>2243585</v>
      </c>
      <c r="M13" s="79">
        <f t="shared" si="3"/>
        <v>0.21528267556466951</v>
      </c>
      <c r="N13" s="79">
        <f t="shared" si="4"/>
        <v>-8.605646766224595E-2</v>
      </c>
      <c r="O13" s="32"/>
      <c r="P13" s="71">
        <v>75410</v>
      </c>
      <c r="Q13" s="71">
        <v>16717</v>
      </c>
      <c r="R13" s="71">
        <v>6883</v>
      </c>
      <c r="S13" s="71">
        <v>99227</v>
      </c>
      <c r="T13" s="80">
        <f t="shared" si="5"/>
        <v>3.5109768499132619</v>
      </c>
      <c r="U13" s="80">
        <f t="shared" si="6"/>
        <v>-0.24002539631350339</v>
      </c>
    </row>
    <row r="14" spans="1:45" s="34" customFormat="1" x14ac:dyDescent="0.25">
      <c r="A14" s="31" t="s">
        <v>11</v>
      </c>
      <c r="B14" s="31"/>
      <c r="C14" s="63">
        <f t="shared" si="9"/>
        <v>1507738</v>
      </c>
      <c r="D14" s="63">
        <v>626200</v>
      </c>
      <c r="E14" s="63">
        <f t="shared" si="8"/>
        <v>2056183</v>
      </c>
      <c r="F14" s="76">
        <f t="shared" si="1"/>
        <v>-1</v>
      </c>
      <c r="G14" s="76">
        <f t="shared" si="2"/>
        <v>-1</v>
      </c>
      <c r="H14" s="32"/>
      <c r="I14" s="70"/>
      <c r="J14" s="70">
        <v>1489619</v>
      </c>
      <c r="K14" s="70">
        <v>621036</v>
      </c>
      <c r="L14" s="70">
        <v>1974690</v>
      </c>
      <c r="M14" s="78">
        <f t="shared" si="3"/>
        <v>-1</v>
      </c>
      <c r="N14" s="78">
        <f t="shared" si="4"/>
        <v>-1</v>
      </c>
      <c r="O14" s="73"/>
      <c r="P14" s="70"/>
      <c r="Q14" s="70">
        <v>18119</v>
      </c>
      <c r="R14" s="70">
        <v>5164</v>
      </c>
      <c r="S14" s="70">
        <v>81493</v>
      </c>
      <c r="T14" s="78">
        <f>P14/Q14-1</f>
        <v>-1</v>
      </c>
      <c r="U14" s="78">
        <f t="shared" si="6"/>
        <v>-1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5">
      <c r="A15" s="36" t="s">
        <v>12</v>
      </c>
      <c r="B15" s="36"/>
      <c r="C15" s="64">
        <f t="shared" si="9"/>
        <v>1645905</v>
      </c>
      <c r="D15" s="64">
        <v>700168</v>
      </c>
      <c r="E15" s="64">
        <f t="shared" si="8"/>
        <v>2146628</v>
      </c>
      <c r="F15" s="77">
        <f t="shared" si="1"/>
        <v>-1</v>
      </c>
      <c r="G15" s="77">
        <f t="shared" si="2"/>
        <v>-1</v>
      </c>
      <c r="I15" s="50"/>
      <c r="J15" s="50">
        <v>1622475</v>
      </c>
      <c r="K15" s="50">
        <v>692553</v>
      </c>
      <c r="L15" s="50">
        <v>2059535</v>
      </c>
      <c r="M15" s="79">
        <f t="shared" si="3"/>
        <v>-1</v>
      </c>
      <c r="N15" s="79">
        <f t="shared" si="4"/>
        <v>-1</v>
      </c>
      <c r="P15" s="51"/>
      <c r="Q15" s="51">
        <v>23430</v>
      </c>
      <c r="R15" s="51">
        <v>7615</v>
      </c>
      <c r="S15" s="51">
        <v>87093</v>
      </c>
      <c r="T15" s="80">
        <f t="shared" si="5"/>
        <v>-1</v>
      </c>
      <c r="U15" s="80">
        <f t="shared" si="6"/>
        <v>-1</v>
      </c>
    </row>
    <row r="16" spans="1:45" x14ac:dyDescent="0.25">
      <c r="A16" s="28" t="s">
        <v>13</v>
      </c>
      <c r="B16" s="28"/>
      <c r="C16" s="74">
        <f t="shared" si="9"/>
        <v>1572472</v>
      </c>
      <c r="D16" s="63">
        <v>682517</v>
      </c>
      <c r="E16" s="63">
        <f t="shared" si="8"/>
        <v>2002821</v>
      </c>
      <c r="F16" s="76">
        <f t="shared" si="1"/>
        <v>-1</v>
      </c>
      <c r="G16" s="76">
        <f t="shared" si="2"/>
        <v>-1</v>
      </c>
      <c r="I16" s="49"/>
      <c r="J16" s="49">
        <v>1542370</v>
      </c>
      <c r="K16" s="49">
        <v>673401</v>
      </c>
      <c r="L16" s="49">
        <v>1919313</v>
      </c>
      <c r="M16" s="78">
        <f t="shared" si="3"/>
        <v>-1</v>
      </c>
      <c r="N16" s="78">
        <f t="shared" si="4"/>
        <v>-1</v>
      </c>
      <c r="P16" s="49"/>
      <c r="Q16" s="49">
        <v>30102</v>
      </c>
      <c r="R16" s="49">
        <v>9116</v>
      </c>
      <c r="S16" s="49">
        <v>83508</v>
      </c>
      <c r="T16" s="78">
        <f t="shared" si="5"/>
        <v>-1</v>
      </c>
      <c r="U16" s="78">
        <f t="shared" si="6"/>
        <v>-1</v>
      </c>
    </row>
    <row r="17" spans="1:21" x14ac:dyDescent="0.25">
      <c r="A17" s="36" t="s">
        <v>14</v>
      </c>
      <c r="B17" s="36"/>
      <c r="C17" s="64">
        <f t="shared" si="9"/>
        <v>1549805</v>
      </c>
      <c r="D17" s="64">
        <f>SUM(K17,R17)</f>
        <v>608847</v>
      </c>
      <c r="E17" s="64">
        <f t="shared" si="8"/>
        <v>2131289</v>
      </c>
      <c r="F17" s="77">
        <f t="shared" si="1"/>
        <v>-1</v>
      </c>
      <c r="G17" s="77">
        <f t="shared" si="2"/>
        <v>-1</v>
      </c>
      <c r="I17" s="50"/>
      <c r="J17" s="50">
        <v>1510517</v>
      </c>
      <c r="K17" s="50">
        <v>599224</v>
      </c>
      <c r="L17" s="50">
        <v>2044005</v>
      </c>
      <c r="M17" s="79">
        <f t="shared" si="3"/>
        <v>-1</v>
      </c>
      <c r="N17" s="79">
        <f t="shared" si="4"/>
        <v>-1</v>
      </c>
      <c r="P17" s="51"/>
      <c r="Q17" s="51">
        <v>39288</v>
      </c>
      <c r="R17" s="51">
        <v>9623</v>
      </c>
      <c r="S17" s="51">
        <v>87284</v>
      </c>
      <c r="T17" s="80">
        <f t="shared" si="5"/>
        <v>-1</v>
      </c>
      <c r="U17" s="80">
        <f t="shared" si="6"/>
        <v>-1</v>
      </c>
    </row>
    <row r="18" spans="1:21" x14ac:dyDescent="0.25">
      <c r="A18" s="28" t="s">
        <v>35</v>
      </c>
      <c r="B18" s="65">
        <f>SUM(B6:B13)</f>
        <v>14359252</v>
      </c>
      <c r="C18" s="65">
        <f t="shared" ref="C18:E18" si="10">SUM(C6:C13)</f>
        <v>9303000</v>
      </c>
      <c r="D18" s="65">
        <f t="shared" si="10"/>
        <v>6621150</v>
      </c>
      <c r="E18" s="65">
        <f t="shared" si="10"/>
        <v>16878284</v>
      </c>
      <c r="F18" s="76">
        <f>B18/C18-1</f>
        <v>0.54350768569278718</v>
      </c>
      <c r="G18" s="76">
        <f t="shared" ref="G18" si="11">B18/E18-1</f>
        <v>-0.14924692581307442</v>
      </c>
      <c r="I18" s="65">
        <f>SUM(I6:I13)</f>
        <v>13911916</v>
      </c>
      <c r="J18" s="65">
        <f t="shared" ref="J18:L18" si="12">SUM(J6:J13)</f>
        <v>9203840</v>
      </c>
      <c r="K18" s="65">
        <f t="shared" si="12"/>
        <v>6405319</v>
      </c>
      <c r="L18" s="65">
        <f t="shared" si="12"/>
        <v>16163890</v>
      </c>
      <c r="M18" s="76">
        <f>I18/J18-1</f>
        <v>0.51153388151032608</v>
      </c>
      <c r="N18" s="76">
        <f t="shared" si="4"/>
        <v>-0.13932128961530921</v>
      </c>
      <c r="P18" s="65">
        <f>SUM(P6:P13)</f>
        <v>447336</v>
      </c>
      <c r="Q18" s="65">
        <f t="shared" ref="Q18:S18" si="13">SUM(Q6:Q13)</f>
        <v>99160</v>
      </c>
      <c r="R18" s="65">
        <f t="shared" si="13"/>
        <v>215831</v>
      </c>
      <c r="S18" s="65">
        <f t="shared" si="13"/>
        <v>714394</v>
      </c>
      <c r="T18" s="76">
        <f>P18/Q18-1</f>
        <v>3.5112545381202098</v>
      </c>
      <c r="U18" s="76">
        <f t="shared" si="6"/>
        <v>-0.37382452820152468</v>
      </c>
    </row>
    <row r="20" spans="1:21" x14ac:dyDescent="0.25">
      <c r="A20" s="30" t="s">
        <v>44</v>
      </c>
      <c r="B20" s="30"/>
      <c r="C20" s="30"/>
      <c r="D20" s="42"/>
      <c r="L20" s="29" t="s">
        <v>50</v>
      </c>
      <c r="M20" s="29"/>
      <c r="R20" s="29"/>
      <c r="S20" s="29"/>
    </row>
    <row r="21" spans="1:21" x14ac:dyDescent="0.25">
      <c r="A21" t="s">
        <v>49</v>
      </c>
      <c r="B21"/>
      <c r="C21"/>
      <c r="R21" s="29"/>
      <c r="S21" s="35"/>
    </row>
    <row r="23" spans="1:21" x14ac:dyDescent="0.25">
      <c r="D23" s="22"/>
      <c r="E23" s="22"/>
      <c r="F23" s="22"/>
      <c r="G23" s="22"/>
    </row>
    <row r="24" spans="1:21" x14ac:dyDescent="0.25">
      <c r="L24" s="26" t="s">
        <v>48</v>
      </c>
    </row>
  </sheetData>
  <mergeCells count="4">
    <mergeCell ref="A1:T1"/>
    <mergeCell ref="I3:N3"/>
    <mergeCell ref="B3:G3"/>
    <mergeCell ref="P3:U3"/>
  </mergeCells>
  <phoneticPr fontId="17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 Totals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'CA Totals'!Print_Area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Microsoft Office User</cp:lastModifiedBy>
  <cp:lastPrinted>2019-08-08T15:34:37Z</cp:lastPrinted>
  <dcterms:created xsi:type="dcterms:W3CDTF">2008-12-18T23:04:54Z</dcterms:created>
  <dcterms:modified xsi:type="dcterms:W3CDTF">2022-11-10T21:03:00Z</dcterms:modified>
</cp:coreProperties>
</file>