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Volumes/Research Files/VENDORS/AIRPORT Passenger Traffic/2022/"/>
    </mc:Choice>
  </mc:AlternateContent>
  <xr:revisionPtr revIDLastSave="0" documentId="13_ncr:1_{9FF9D907-24C0-9146-8DBA-0970DB4F67A6}" xr6:coauthVersionLast="47" xr6:coauthVersionMax="47" xr10:uidLastSave="{00000000-0000-0000-0000-000000000000}"/>
  <bookViews>
    <workbookView xWindow="25460" yWindow="460" windowWidth="42040" windowHeight="27160" tabRatio="913" activeTab="5" xr2:uid="{00000000-000D-0000-FFFF-FFFF00000000}"/>
  </bookViews>
  <sheets>
    <sheet name="CA Totals" sheetId="14" r:id="rId1"/>
    <sheet name="Los Angeles" sheetId="2" r:id="rId2"/>
    <sheet name="Burbank" sheetId="1" r:id="rId3"/>
    <sheet name="Long Beach" sheetId="3" r:id="rId4"/>
    <sheet name="Ontario" sheetId="5" r:id="rId5"/>
    <sheet name="Orange County" sheetId="10" r:id="rId6"/>
    <sheet name="Oakland" sheetId="4" r:id="rId7"/>
    <sheet name="Sacramento" sheetId="6" r:id="rId8"/>
    <sheet name="San Diego" sheetId="7" r:id="rId9"/>
    <sheet name="San Jose" sheetId="8" r:id="rId10"/>
    <sheet name="San Francisco" sheetId="9" r:id="rId11"/>
    <sheet name="High Low stats" sheetId="12" state="hidden" r:id="rId12"/>
  </sheets>
  <definedNames>
    <definedName name="_xlnm.Print_Area" localSheetId="2">Burbank!$A$1:$S$21</definedName>
    <definedName name="_xlnm.Print_Area" localSheetId="0">'CA Totals'!$A$1:$V$33</definedName>
    <definedName name="_xlnm.Print_Area" localSheetId="11">'High Low stats'!$A$3:$I$46</definedName>
    <definedName name="_xlnm.Print_Area" localSheetId="3">'Long Beach'!$A$1:$R$21</definedName>
    <definedName name="_xlnm.Print_Area" localSheetId="1">'Los Angeles'!$A$1:$V$21</definedName>
    <definedName name="_xlnm.Print_Area" localSheetId="6">Oakland!$A$1:$T$21</definedName>
    <definedName name="_xlnm.Print_Area" localSheetId="4">Ontario!$A$1:$V$21</definedName>
    <definedName name="_xlnm.Print_Area" localSheetId="5">'Orange County'!$A$1:$V$21</definedName>
    <definedName name="_xlnm.Print_Area" localSheetId="7">Sacramento!$A$1:$V$21</definedName>
    <definedName name="_xlnm.Print_Area" localSheetId="10">'San Francisco'!$A$1:$V$21</definedName>
    <definedName name="_xlnm.Print_Area" localSheetId="9">'San Jose'!$A$1:$V$21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14" l="1"/>
  <c r="T6" i="14"/>
  <c r="U18" i="14"/>
  <c r="T18" i="14"/>
  <c r="U17" i="14"/>
  <c r="T17" i="14"/>
  <c r="U16" i="14"/>
  <c r="T16" i="14"/>
  <c r="U15" i="14"/>
  <c r="T15" i="14"/>
  <c r="U14" i="14"/>
  <c r="T14" i="14"/>
  <c r="U13" i="14"/>
  <c r="T13" i="14"/>
  <c r="U12" i="14"/>
  <c r="T12" i="14"/>
  <c r="U11" i="14"/>
  <c r="T11" i="14"/>
  <c r="U10" i="14"/>
  <c r="T10" i="14"/>
  <c r="U9" i="14"/>
  <c r="T9" i="14"/>
  <c r="U8" i="14"/>
  <c r="T8" i="14"/>
  <c r="U7" i="14"/>
  <c r="T7" i="14"/>
  <c r="U6" i="14"/>
  <c r="P18" i="14"/>
  <c r="S18" i="14"/>
  <c r="R18" i="14"/>
  <c r="Q18" i="14"/>
  <c r="L18" i="14"/>
  <c r="K18" i="14"/>
  <c r="J18" i="14"/>
  <c r="I18" i="14"/>
  <c r="M18" i="14" s="1"/>
  <c r="N17" i="14"/>
  <c r="M17" i="14"/>
  <c r="N16" i="14"/>
  <c r="M16" i="14"/>
  <c r="N15" i="14"/>
  <c r="M15" i="14"/>
  <c r="N14" i="14"/>
  <c r="M14" i="14"/>
  <c r="N13" i="14"/>
  <c r="M13" i="14"/>
  <c r="N12" i="14"/>
  <c r="M12" i="14"/>
  <c r="N11" i="14"/>
  <c r="M11" i="14"/>
  <c r="N10" i="14"/>
  <c r="M10" i="14"/>
  <c r="N9" i="14"/>
  <c r="M9" i="14"/>
  <c r="N8" i="14"/>
  <c r="M8" i="14"/>
  <c r="N7" i="14"/>
  <c r="M7" i="14"/>
  <c r="N6" i="14"/>
  <c r="M6" i="14"/>
  <c r="F6" i="14"/>
  <c r="G18" i="14"/>
  <c r="F18" i="14"/>
  <c r="G17" i="14"/>
  <c r="F17" i="14"/>
  <c r="G16" i="14"/>
  <c r="F16" i="14"/>
  <c r="G15" i="14"/>
  <c r="F15" i="14"/>
  <c r="G14" i="14"/>
  <c r="F14" i="14"/>
  <c r="G13" i="14"/>
  <c r="F13" i="14"/>
  <c r="G12" i="14"/>
  <c r="F12" i="14"/>
  <c r="G11" i="14"/>
  <c r="F11" i="14"/>
  <c r="G10" i="14"/>
  <c r="F10" i="14"/>
  <c r="G9" i="14"/>
  <c r="F9" i="14"/>
  <c r="G8" i="14"/>
  <c r="F8" i="14"/>
  <c r="G7" i="14"/>
  <c r="F7" i="14"/>
  <c r="G6" i="14"/>
  <c r="E18" i="14"/>
  <c r="D18" i="14"/>
  <c r="C18" i="14"/>
  <c r="B6" i="14"/>
  <c r="B7" i="14"/>
  <c r="I7" i="14"/>
  <c r="P7" i="14"/>
  <c r="P6" i="14"/>
  <c r="Q6" i="14"/>
  <c r="C6" i="14" s="1"/>
  <c r="I6" i="14"/>
  <c r="J6" i="14"/>
  <c r="U18" i="8"/>
  <c r="T18" i="8"/>
  <c r="U17" i="8"/>
  <c r="T17" i="8"/>
  <c r="U16" i="8"/>
  <c r="T16" i="8"/>
  <c r="U15" i="8"/>
  <c r="T15" i="8"/>
  <c r="U14" i="8"/>
  <c r="T14" i="8"/>
  <c r="U13" i="8"/>
  <c r="T13" i="8"/>
  <c r="U12" i="8"/>
  <c r="T12" i="8"/>
  <c r="U11" i="8"/>
  <c r="T11" i="8"/>
  <c r="U10" i="8"/>
  <c r="T10" i="8"/>
  <c r="U9" i="8"/>
  <c r="T9" i="8"/>
  <c r="U8" i="8"/>
  <c r="T8" i="8"/>
  <c r="U7" i="8"/>
  <c r="T7" i="8"/>
  <c r="U6" i="8"/>
  <c r="T6" i="8"/>
  <c r="S18" i="8"/>
  <c r="R18" i="8"/>
  <c r="Q18" i="8"/>
  <c r="P18" i="8"/>
  <c r="M18" i="8"/>
  <c r="L18" i="8"/>
  <c r="K18" i="8"/>
  <c r="J18" i="8"/>
  <c r="I18" i="8"/>
  <c r="N18" i="8" s="1"/>
  <c r="N17" i="8"/>
  <c r="M17" i="8"/>
  <c r="N16" i="8"/>
  <c r="M16" i="8"/>
  <c r="N15" i="8"/>
  <c r="M15" i="8"/>
  <c r="N14" i="8"/>
  <c r="M14" i="8"/>
  <c r="N13" i="8"/>
  <c r="M13" i="8"/>
  <c r="N12" i="8"/>
  <c r="M12" i="8"/>
  <c r="N11" i="8"/>
  <c r="M11" i="8"/>
  <c r="N10" i="8"/>
  <c r="M10" i="8"/>
  <c r="N9" i="8"/>
  <c r="M9" i="8"/>
  <c r="N8" i="8"/>
  <c r="M8" i="8"/>
  <c r="N7" i="8"/>
  <c r="M7" i="8"/>
  <c r="N6" i="8"/>
  <c r="M6" i="8"/>
  <c r="G18" i="8"/>
  <c r="F18" i="8"/>
  <c r="G17" i="8"/>
  <c r="F17" i="8"/>
  <c r="G16" i="8"/>
  <c r="F16" i="8"/>
  <c r="G15" i="8"/>
  <c r="F15" i="8"/>
  <c r="G14" i="8"/>
  <c r="F14" i="8"/>
  <c r="G13" i="8"/>
  <c r="F13" i="8"/>
  <c r="G12" i="8"/>
  <c r="F12" i="8"/>
  <c r="G11" i="8"/>
  <c r="F11" i="8"/>
  <c r="G10" i="8"/>
  <c r="F10" i="8"/>
  <c r="G9" i="8"/>
  <c r="F9" i="8"/>
  <c r="G8" i="8"/>
  <c r="F8" i="8"/>
  <c r="G7" i="8"/>
  <c r="F7" i="8"/>
  <c r="G6" i="8"/>
  <c r="F6" i="8"/>
  <c r="E18" i="8"/>
  <c r="D18" i="8"/>
  <c r="C18" i="8"/>
  <c r="B18" i="8"/>
  <c r="P7" i="8"/>
  <c r="Q7" i="8"/>
  <c r="I7" i="8"/>
  <c r="P6" i="8"/>
  <c r="I6" i="8"/>
  <c r="F18" i="7"/>
  <c r="G17" i="7"/>
  <c r="F17" i="7"/>
  <c r="G16" i="7"/>
  <c r="F16" i="7"/>
  <c r="G15" i="7"/>
  <c r="F15" i="7"/>
  <c r="G14" i="7"/>
  <c r="F14" i="7"/>
  <c r="G13" i="7"/>
  <c r="F13" i="7"/>
  <c r="G12" i="7"/>
  <c r="F12" i="7"/>
  <c r="G11" i="7"/>
  <c r="F11" i="7"/>
  <c r="G10" i="7"/>
  <c r="F10" i="7"/>
  <c r="G9" i="7"/>
  <c r="F9" i="7"/>
  <c r="G8" i="7"/>
  <c r="F8" i="7"/>
  <c r="G7" i="7"/>
  <c r="F7" i="7"/>
  <c r="G6" i="7"/>
  <c r="F6" i="7"/>
  <c r="N18" i="7"/>
  <c r="M18" i="7"/>
  <c r="N17" i="7"/>
  <c r="M17" i="7"/>
  <c r="N16" i="7"/>
  <c r="M16" i="7"/>
  <c r="N15" i="7"/>
  <c r="M15" i="7"/>
  <c r="N14" i="7"/>
  <c r="M14" i="7"/>
  <c r="N13" i="7"/>
  <c r="M13" i="7"/>
  <c r="N12" i="7"/>
  <c r="M12" i="7"/>
  <c r="N11" i="7"/>
  <c r="M11" i="7"/>
  <c r="N10" i="7"/>
  <c r="M10" i="7"/>
  <c r="N9" i="7"/>
  <c r="M9" i="7"/>
  <c r="N8" i="7"/>
  <c r="M8" i="7"/>
  <c r="N7" i="7"/>
  <c r="M7" i="7"/>
  <c r="N6" i="7"/>
  <c r="M6" i="7"/>
  <c r="T18" i="7"/>
  <c r="T6" i="7"/>
  <c r="U18" i="7"/>
  <c r="U17" i="7"/>
  <c r="T17" i="7"/>
  <c r="U16" i="7"/>
  <c r="T16" i="7"/>
  <c r="U15" i="7"/>
  <c r="T15" i="7"/>
  <c r="U14" i="7"/>
  <c r="T14" i="7"/>
  <c r="U13" i="7"/>
  <c r="T13" i="7"/>
  <c r="U12" i="7"/>
  <c r="T12" i="7"/>
  <c r="U11" i="7"/>
  <c r="T11" i="7"/>
  <c r="U10" i="7"/>
  <c r="T10" i="7"/>
  <c r="U9" i="7"/>
  <c r="T9" i="7"/>
  <c r="U8" i="7"/>
  <c r="T8" i="7"/>
  <c r="U7" i="7"/>
  <c r="T7" i="7"/>
  <c r="U6" i="7"/>
  <c r="S18" i="7"/>
  <c r="R18" i="7"/>
  <c r="Q18" i="7"/>
  <c r="P18" i="7"/>
  <c r="L18" i="7"/>
  <c r="K18" i="7"/>
  <c r="J18" i="7"/>
  <c r="I18" i="7"/>
  <c r="E18" i="7"/>
  <c r="D18" i="7"/>
  <c r="C18" i="7"/>
  <c r="B18" i="7"/>
  <c r="G18" i="7" s="1"/>
  <c r="B7" i="7"/>
  <c r="B6" i="7"/>
  <c r="C6" i="7"/>
  <c r="T18" i="6"/>
  <c r="T6" i="6"/>
  <c r="U18" i="6"/>
  <c r="U17" i="6"/>
  <c r="T17" i="6"/>
  <c r="U16" i="6"/>
  <c r="T16" i="6"/>
  <c r="U15" i="6"/>
  <c r="T15" i="6"/>
  <c r="U14" i="6"/>
  <c r="T14" i="6"/>
  <c r="U13" i="6"/>
  <c r="T13" i="6"/>
  <c r="U12" i="6"/>
  <c r="T12" i="6"/>
  <c r="U11" i="6"/>
  <c r="T11" i="6"/>
  <c r="U10" i="6"/>
  <c r="T10" i="6"/>
  <c r="U9" i="6"/>
  <c r="T9" i="6"/>
  <c r="U8" i="6"/>
  <c r="T8" i="6"/>
  <c r="U7" i="6"/>
  <c r="T7" i="6"/>
  <c r="U6" i="6"/>
  <c r="N18" i="6"/>
  <c r="M18" i="6"/>
  <c r="N17" i="6"/>
  <c r="M17" i="6"/>
  <c r="N16" i="6"/>
  <c r="M16" i="6"/>
  <c r="N15" i="6"/>
  <c r="M15" i="6"/>
  <c r="N14" i="6"/>
  <c r="M14" i="6"/>
  <c r="N13" i="6"/>
  <c r="M13" i="6"/>
  <c r="N12" i="6"/>
  <c r="M12" i="6"/>
  <c r="N11" i="6"/>
  <c r="M11" i="6"/>
  <c r="N10" i="6"/>
  <c r="M10" i="6"/>
  <c r="N9" i="6"/>
  <c r="M9" i="6"/>
  <c r="N8" i="6"/>
  <c r="M8" i="6"/>
  <c r="N7" i="6"/>
  <c r="M7" i="6"/>
  <c r="N6" i="6"/>
  <c r="M6" i="6"/>
  <c r="F18" i="6"/>
  <c r="G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  <c r="S18" i="6"/>
  <c r="R18" i="6"/>
  <c r="Q18" i="6"/>
  <c r="P18" i="6"/>
  <c r="I18" i="6"/>
  <c r="L18" i="6"/>
  <c r="K18" i="6"/>
  <c r="J18" i="6"/>
  <c r="E18" i="6"/>
  <c r="D18" i="6"/>
  <c r="C18" i="6"/>
  <c r="B18" i="6"/>
  <c r="I7" i="6"/>
  <c r="J6" i="6"/>
  <c r="Q7" i="6"/>
  <c r="Q8" i="6"/>
  <c r="J7" i="6"/>
  <c r="J8" i="6"/>
  <c r="P7" i="6"/>
  <c r="J9" i="6"/>
  <c r="J10" i="6"/>
  <c r="J11" i="6"/>
  <c r="J12" i="6"/>
  <c r="J13" i="6"/>
  <c r="J14" i="6"/>
  <c r="J15" i="6"/>
  <c r="J16" i="6"/>
  <c r="J17" i="6"/>
  <c r="I6" i="6"/>
  <c r="P6" i="6"/>
  <c r="U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U6" i="10"/>
  <c r="T6" i="5"/>
  <c r="N18" i="10"/>
  <c r="N17" i="10"/>
  <c r="M17" i="10"/>
  <c r="N16" i="10"/>
  <c r="M16" i="10"/>
  <c r="N15" i="10"/>
  <c r="M15" i="10"/>
  <c r="N14" i="10"/>
  <c r="M14" i="10"/>
  <c r="N13" i="10"/>
  <c r="M13" i="10"/>
  <c r="N12" i="10"/>
  <c r="M12" i="10"/>
  <c r="N11" i="10"/>
  <c r="M11" i="10"/>
  <c r="N10" i="10"/>
  <c r="M10" i="10"/>
  <c r="N9" i="10"/>
  <c r="M9" i="10"/>
  <c r="N8" i="10"/>
  <c r="M8" i="10"/>
  <c r="N7" i="10"/>
  <c r="N6" i="10"/>
  <c r="G18" i="10"/>
  <c r="F18" i="10"/>
  <c r="G17" i="10"/>
  <c r="F17" i="10"/>
  <c r="G16" i="10"/>
  <c r="F16" i="10"/>
  <c r="G15" i="10"/>
  <c r="F15" i="10"/>
  <c r="G14" i="10"/>
  <c r="F14" i="10"/>
  <c r="G13" i="10"/>
  <c r="F13" i="10"/>
  <c r="G12" i="10"/>
  <c r="F12" i="10"/>
  <c r="G11" i="10"/>
  <c r="F11" i="10"/>
  <c r="G10" i="10"/>
  <c r="F10" i="10"/>
  <c r="G9" i="10"/>
  <c r="F9" i="10"/>
  <c r="G8" i="10"/>
  <c r="F8" i="10"/>
  <c r="G7" i="10"/>
  <c r="F7" i="10"/>
  <c r="G6" i="10"/>
  <c r="F6" i="10"/>
  <c r="P18" i="10"/>
  <c r="S18" i="10"/>
  <c r="R18" i="10"/>
  <c r="Q18" i="10"/>
  <c r="T18" i="10" s="1"/>
  <c r="B18" i="10"/>
  <c r="I7" i="10"/>
  <c r="I6" i="10"/>
  <c r="J6" i="10"/>
  <c r="M6" i="10" s="1"/>
  <c r="J7" i="10"/>
  <c r="M7" i="10" s="1"/>
  <c r="J8" i="10"/>
  <c r="K6" i="10"/>
  <c r="T14" i="4"/>
  <c r="S18" i="4"/>
  <c r="R18" i="4"/>
  <c r="Q18" i="4"/>
  <c r="P18" i="4"/>
  <c r="U18" i="4" s="1"/>
  <c r="L18" i="4"/>
  <c r="K18" i="4"/>
  <c r="J18" i="4"/>
  <c r="I18" i="4"/>
  <c r="N18" i="4" s="1"/>
  <c r="E18" i="4"/>
  <c r="D18" i="4"/>
  <c r="C18" i="4"/>
  <c r="B18" i="4"/>
  <c r="G18" i="4" s="1"/>
  <c r="L18" i="10"/>
  <c r="K18" i="10"/>
  <c r="I18" i="10"/>
  <c r="E18" i="10"/>
  <c r="D18" i="10"/>
  <c r="C18" i="10"/>
  <c r="T6" i="4"/>
  <c r="U17" i="4"/>
  <c r="T17" i="4"/>
  <c r="U16" i="4"/>
  <c r="T16" i="4"/>
  <c r="U15" i="4"/>
  <c r="T15" i="4"/>
  <c r="U14" i="4"/>
  <c r="U13" i="4"/>
  <c r="T13" i="4"/>
  <c r="U12" i="4"/>
  <c r="T12" i="4"/>
  <c r="U11" i="4"/>
  <c r="T11" i="4"/>
  <c r="U10" i="4"/>
  <c r="T10" i="4"/>
  <c r="U9" i="4"/>
  <c r="T9" i="4"/>
  <c r="U8" i="4"/>
  <c r="T8" i="4"/>
  <c r="U7" i="4"/>
  <c r="T7" i="4"/>
  <c r="U6" i="4"/>
  <c r="N17" i="4"/>
  <c r="M17" i="4"/>
  <c r="N16" i="4"/>
  <c r="M16" i="4"/>
  <c r="N15" i="4"/>
  <c r="M15" i="4"/>
  <c r="N14" i="4"/>
  <c r="M14" i="4"/>
  <c r="N13" i="4"/>
  <c r="M13" i="4"/>
  <c r="N12" i="4"/>
  <c r="M12" i="4"/>
  <c r="N11" i="4"/>
  <c r="M11" i="4"/>
  <c r="N10" i="4"/>
  <c r="M10" i="4"/>
  <c r="N9" i="4"/>
  <c r="M9" i="4"/>
  <c r="N8" i="4"/>
  <c r="M8" i="4"/>
  <c r="N7" i="4"/>
  <c r="M7" i="4"/>
  <c r="N6" i="4"/>
  <c r="M6" i="4"/>
  <c r="I7" i="4"/>
  <c r="F6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5"/>
  <c r="I6" i="4"/>
  <c r="J6" i="4"/>
  <c r="P18" i="5"/>
  <c r="B18" i="5"/>
  <c r="I18" i="5"/>
  <c r="S18" i="5"/>
  <c r="R18" i="5"/>
  <c r="Q18" i="5"/>
  <c r="U18" i="5"/>
  <c r="T18" i="5"/>
  <c r="U17" i="5"/>
  <c r="T17" i="5"/>
  <c r="U16" i="5"/>
  <c r="T16" i="5"/>
  <c r="U15" i="5"/>
  <c r="T15" i="5"/>
  <c r="U14" i="5"/>
  <c r="T14" i="5"/>
  <c r="U13" i="5"/>
  <c r="T13" i="5"/>
  <c r="U12" i="5"/>
  <c r="T12" i="5"/>
  <c r="U11" i="5"/>
  <c r="T11" i="5"/>
  <c r="U10" i="5"/>
  <c r="T10" i="5"/>
  <c r="U9" i="5"/>
  <c r="T9" i="5"/>
  <c r="U8" i="5"/>
  <c r="T8" i="5"/>
  <c r="U7" i="5"/>
  <c r="T7" i="5"/>
  <c r="U6" i="5"/>
  <c r="L18" i="5"/>
  <c r="N18" i="5" s="1"/>
  <c r="K18" i="5"/>
  <c r="J18" i="5"/>
  <c r="M18" i="5"/>
  <c r="N17" i="5"/>
  <c r="M17" i="5"/>
  <c r="N16" i="5"/>
  <c r="M16" i="5"/>
  <c r="N15" i="5"/>
  <c r="M15" i="5"/>
  <c r="N14" i="5"/>
  <c r="M14" i="5"/>
  <c r="N13" i="5"/>
  <c r="M13" i="5"/>
  <c r="N12" i="5"/>
  <c r="M12" i="5"/>
  <c r="N11" i="5"/>
  <c r="M11" i="5"/>
  <c r="N10" i="5"/>
  <c r="M10" i="5"/>
  <c r="N9" i="5"/>
  <c r="M9" i="5"/>
  <c r="N8" i="5"/>
  <c r="M8" i="5"/>
  <c r="N7" i="5"/>
  <c r="M7" i="5"/>
  <c r="N6" i="5"/>
  <c r="M6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E18" i="5"/>
  <c r="D18" i="5"/>
  <c r="C18" i="5"/>
  <c r="I7" i="5"/>
  <c r="P7" i="5"/>
  <c r="I6" i="5"/>
  <c r="J6" i="5"/>
  <c r="P6" i="5"/>
  <c r="K18" i="3"/>
  <c r="I18" i="3"/>
  <c r="M6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  <c r="N10" i="3"/>
  <c r="M10" i="3"/>
  <c r="N9" i="3"/>
  <c r="M9" i="3"/>
  <c r="N8" i="3"/>
  <c r="M8" i="3"/>
  <c r="N7" i="3"/>
  <c r="M7" i="3"/>
  <c r="N6" i="3"/>
  <c r="M18" i="1"/>
  <c r="I18" i="1"/>
  <c r="M6" i="1"/>
  <c r="N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L18" i="3"/>
  <c r="J18" i="3"/>
  <c r="E18" i="3"/>
  <c r="D18" i="3"/>
  <c r="C18" i="3"/>
  <c r="B18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  <c r="J18" i="1"/>
  <c r="L18" i="1"/>
  <c r="K18" i="1"/>
  <c r="B18" i="1"/>
  <c r="F18" i="1" s="1"/>
  <c r="D18" i="1"/>
  <c r="E18" i="1"/>
  <c r="C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J18" i="2"/>
  <c r="T18" i="2"/>
  <c r="P18" i="2"/>
  <c r="R18" i="2"/>
  <c r="S18" i="2"/>
  <c r="Q18" i="2"/>
  <c r="U18" i="2"/>
  <c r="U17" i="2"/>
  <c r="T17" i="2"/>
  <c r="U16" i="2"/>
  <c r="T16" i="2"/>
  <c r="U15" i="2"/>
  <c r="T15" i="2"/>
  <c r="U14" i="2"/>
  <c r="T14" i="2"/>
  <c r="U13" i="2"/>
  <c r="T13" i="2"/>
  <c r="U12" i="2"/>
  <c r="T12" i="2"/>
  <c r="U11" i="2"/>
  <c r="T11" i="2"/>
  <c r="U10" i="2"/>
  <c r="T10" i="2"/>
  <c r="U9" i="2"/>
  <c r="T9" i="2"/>
  <c r="U8" i="2"/>
  <c r="T8" i="2"/>
  <c r="U7" i="2"/>
  <c r="T7" i="2"/>
  <c r="U6" i="2"/>
  <c r="T6" i="2"/>
  <c r="M18" i="2"/>
  <c r="M6" i="2"/>
  <c r="N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7" i="2"/>
  <c r="M7" i="2"/>
  <c r="N6" i="2"/>
  <c r="K18" i="2"/>
  <c r="L18" i="2"/>
  <c r="I18" i="2"/>
  <c r="G18" i="2"/>
  <c r="F18" i="2"/>
  <c r="B18" i="2"/>
  <c r="D18" i="2"/>
  <c r="E18" i="2"/>
  <c r="C18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G6" i="2"/>
  <c r="F6" i="2"/>
  <c r="G7" i="2"/>
  <c r="F7" i="2"/>
  <c r="B7" i="2"/>
  <c r="B6" i="2"/>
  <c r="Q18" i="9"/>
  <c r="T18" i="9"/>
  <c r="P18" i="9"/>
  <c r="R18" i="9"/>
  <c r="S18" i="9"/>
  <c r="N18" i="9"/>
  <c r="M18" i="9"/>
  <c r="I18" i="9"/>
  <c r="K18" i="9"/>
  <c r="L18" i="9"/>
  <c r="J18" i="9"/>
  <c r="G18" i="9"/>
  <c r="F18" i="9"/>
  <c r="E18" i="9"/>
  <c r="D18" i="9"/>
  <c r="C18" i="9"/>
  <c r="B18" i="9"/>
  <c r="T6" i="9"/>
  <c r="F6" i="9"/>
  <c r="T7" i="9"/>
  <c r="U7" i="9"/>
  <c r="T8" i="9"/>
  <c r="U8" i="9"/>
  <c r="T9" i="9"/>
  <c r="U9" i="9"/>
  <c r="T10" i="9"/>
  <c r="U10" i="9"/>
  <c r="T11" i="9"/>
  <c r="U11" i="9"/>
  <c r="T12" i="9"/>
  <c r="U12" i="9"/>
  <c r="T13" i="9"/>
  <c r="U13" i="9"/>
  <c r="T14" i="9"/>
  <c r="U14" i="9"/>
  <c r="T15" i="9"/>
  <c r="U15" i="9"/>
  <c r="T16" i="9"/>
  <c r="U16" i="9"/>
  <c r="T17" i="9"/>
  <c r="U17" i="9"/>
  <c r="U18" i="9"/>
  <c r="U6" i="9"/>
  <c r="M7" i="9"/>
  <c r="N7" i="9"/>
  <c r="M8" i="9"/>
  <c r="N8" i="9"/>
  <c r="M9" i="9"/>
  <c r="N9" i="9"/>
  <c r="M10" i="9"/>
  <c r="N10" i="9"/>
  <c r="M11" i="9"/>
  <c r="N11" i="9"/>
  <c r="M12" i="9"/>
  <c r="N12" i="9"/>
  <c r="M13" i="9"/>
  <c r="N13" i="9"/>
  <c r="M14" i="9"/>
  <c r="N14" i="9"/>
  <c r="M15" i="9"/>
  <c r="N15" i="9"/>
  <c r="M16" i="9"/>
  <c r="N16" i="9"/>
  <c r="M17" i="9"/>
  <c r="N17" i="9"/>
  <c r="N6" i="9"/>
  <c r="M6" i="9"/>
  <c r="G7" i="9"/>
  <c r="G8" i="9"/>
  <c r="G9" i="9"/>
  <c r="G10" i="9"/>
  <c r="G11" i="9"/>
  <c r="G12" i="9"/>
  <c r="G13" i="9"/>
  <c r="G14" i="9"/>
  <c r="G15" i="9"/>
  <c r="G16" i="9"/>
  <c r="G17" i="9"/>
  <c r="F7" i="9"/>
  <c r="F8" i="9"/>
  <c r="F9" i="9"/>
  <c r="F10" i="9"/>
  <c r="F11" i="9"/>
  <c r="F12" i="9"/>
  <c r="F13" i="9"/>
  <c r="F14" i="9"/>
  <c r="F15" i="9"/>
  <c r="F16" i="9"/>
  <c r="F17" i="9"/>
  <c r="G6" i="9"/>
  <c r="B7" i="9"/>
  <c r="B6" i="9"/>
  <c r="C6" i="9"/>
  <c r="C17" i="9"/>
  <c r="Q17" i="8"/>
  <c r="J17" i="8"/>
  <c r="C17" i="7"/>
  <c r="Q17" i="6"/>
  <c r="J17" i="4"/>
  <c r="Q17" i="5"/>
  <c r="Q17" i="14" s="1"/>
  <c r="C17" i="3"/>
  <c r="C17" i="1"/>
  <c r="C17" i="2"/>
  <c r="Q16" i="8"/>
  <c r="J16" i="8"/>
  <c r="C16" i="8" s="1"/>
  <c r="C16" i="7"/>
  <c r="Q16" i="6"/>
  <c r="J16" i="4"/>
  <c r="Q15" i="5"/>
  <c r="J15" i="5"/>
  <c r="Q16" i="5"/>
  <c r="J16" i="5" s="1"/>
  <c r="C16" i="3"/>
  <c r="C16" i="1"/>
  <c r="C16" i="2"/>
  <c r="C16" i="9"/>
  <c r="C15" i="9"/>
  <c r="Q15" i="8"/>
  <c r="J15" i="8"/>
  <c r="C15" i="7"/>
  <c r="Q15" i="6"/>
  <c r="Q15" i="14" s="1"/>
  <c r="J15" i="4"/>
  <c r="C15" i="2"/>
  <c r="C14" i="9"/>
  <c r="N18" i="14" l="1"/>
  <c r="J18" i="10"/>
  <c r="M18" i="10" s="1"/>
  <c r="T18" i="4"/>
  <c r="M18" i="4"/>
  <c r="F18" i="4"/>
  <c r="G18" i="1"/>
  <c r="C17" i="8"/>
  <c r="C15" i="8"/>
  <c r="Q16" i="14"/>
  <c r="J17" i="5"/>
  <c r="Q14" i="8" l="1"/>
  <c r="J14" i="8"/>
  <c r="C14" i="7"/>
  <c r="Q14" i="5"/>
  <c r="C14" i="2"/>
  <c r="J14" i="4"/>
  <c r="J13" i="4"/>
  <c r="Q13" i="8"/>
  <c r="J13" i="8"/>
  <c r="C13" i="7"/>
  <c r="D13" i="9"/>
  <c r="C13" i="9"/>
  <c r="Q13" i="6"/>
  <c r="Q13" i="5"/>
  <c r="C13" i="2"/>
  <c r="K12" i="6"/>
  <c r="J12" i="4"/>
  <c r="C12" i="9"/>
  <c r="Q12" i="8"/>
  <c r="J12" i="8"/>
  <c r="C12" i="7"/>
  <c r="Q12" i="6"/>
  <c r="Q12" i="5"/>
  <c r="J12" i="5"/>
  <c r="C12" i="2"/>
  <c r="C11" i="9"/>
  <c r="Q11" i="8"/>
  <c r="J11" i="8"/>
  <c r="Q11" i="6"/>
  <c r="J11" i="4"/>
  <c r="J9" i="4"/>
  <c r="J10" i="4"/>
  <c r="J8" i="4"/>
  <c r="J10" i="5"/>
  <c r="Q11" i="5"/>
  <c r="C11" i="2"/>
  <c r="C9" i="9"/>
  <c r="C10" i="9"/>
  <c r="Q9" i="8"/>
  <c r="J9" i="8"/>
  <c r="Q10" i="8"/>
  <c r="J10" i="8"/>
  <c r="C10" i="8" s="1"/>
  <c r="C9" i="7"/>
  <c r="C10" i="7"/>
  <c r="Q10" i="6"/>
  <c r="Q9" i="6"/>
  <c r="J8" i="5"/>
  <c r="C10" i="2"/>
  <c r="C9" i="2"/>
  <c r="C12" i="8" l="1"/>
  <c r="C9" i="8"/>
  <c r="Q9" i="14"/>
  <c r="C13" i="8"/>
  <c r="C14" i="8"/>
  <c r="Q10" i="14"/>
  <c r="C11" i="8"/>
  <c r="Q13" i="14"/>
  <c r="J14" i="5"/>
  <c r="Q11" i="14"/>
  <c r="J13" i="5"/>
  <c r="Q12" i="14"/>
  <c r="J11" i="5"/>
  <c r="K8" i="10"/>
  <c r="C8" i="9"/>
  <c r="Q8" i="8"/>
  <c r="J8" i="8"/>
  <c r="C8" i="8" s="1"/>
  <c r="C8" i="7"/>
  <c r="C8" i="2"/>
  <c r="Q8" i="14" l="1"/>
  <c r="Q7" i="14" l="1"/>
  <c r="J7" i="8"/>
  <c r="C7" i="7"/>
  <c r="J7" i="4"/>
  <c r="K6" i="4"/>
  <c r="C7" i="8" l="1"/>
  <c r="J7" i="5"/>
  <c r="C7" i="2"/>
  <c r="C7" i="9" l="1"/>
  <c r="Q6" i="8" l="1"/>
  <c r="J6" i="8"/>
  <c r="K6" i="8"/>
  <c r="Q6" i="6"/>
  <c r="K17" i="6"/>
  <c r="K6" i="6"/>
  <c r="C6" i="2"/>
  <c r="D6" i="2"/>
  <c r="C6" i="8" l="1"/>
  <c r="K17" i="4"/>
  <c r="R17" i="8"/>
  <c r="K17" i="8"/>
  <c r="D17" i="8" l="1"/>
  <c r="D17" i="9"/>
  <c r="D17" i="7"/>
  <c r="R17" i="6"/>
  <c r="K17" i="5"/>
  <c r="D17" i="2"/>
  <c r="E17" i="2"/>
  <c r="D17" i="6" l="1"/>
  <c r="R16" i="8"/>
  <c r="K16" i="8"/>
  <c r="R16" i="6"/>
  <c r="K16" i="6"/>
  <c r="K16" i="4"/>
  <c r="S16" i="5"/>
  <c r="K16" i="5"/>
  <c r="D9" i="1"/>
  <c r="D16" i="2"/>
  <c r="D16" i="8" l="1"/>
  <c r="D16" i="6"/>
  <c r="R15" i="8"/>
  <c r="R15" i="6"/>
  <c r="R14" i="6"/>
  <c r="K14" i="6"/>
  <c r="K15" i="5"/>
  <c r="K15" i="4"/>
  <c r="K14" i="4"/>
  <c r="D15" i="2"/>
  <c r="K15" i="8" l="1"/>
  <c r="K15" i="6"/>
  <c r="K13" i="4"/>
  <c r="R14" i="8"/>
  <c r="K13" i="8"/>
  <c r="K13" i="6"/>
  <c r="R13" i="6"/>
  <c r="K14" i="5"/>
  <c r="K14" i="8" l="1"/>
  <c r="D14" i="2"/>
  <c r="D13" i="2" l="1"/>
  <c r="R13" i="8" l="1"/>
  <c r="D13" i="6"/>
  <c r="K12" i="4"/>
  <c r="K13" i="5"/>
  <c r="R13" i="14" l="1"/>
  <c r="D13" i="8"/>
  <c r="R12" i="6"/>
  <c r="D12" i="6" l="1"/>
  <c r="R12" i="8"/>
  <c r="K12" i="8"/>
  <c r="K12" i="5"/>
  <c r="K11" i="5"/>
  <c r="D12" i="8" l="1"/>
  <c r="D12" i="2"/>
  <c r="E12" i="2"/>
  <c r="R11" i="8" l="1"/>
  <c r="K11" i="8"/>
  <c r="D11" i="8" l="1"/>
  <c r="D11" i="7"/>
  <c r="D10" i="7"/>
  <c r="R11" i="6"/>
  <c r="K11" i="6"/>
  <c r="R7" i="5"/>
  <c r="K11" i="14" l="1"/>
  <c r="K7" i="5"/>
  <c r="D11" i="6"/>
  <c r="K10" i="8"/>
  <c r="D10" i="8" l="1"/>
  <c r="D10" i="1"/>
  <c r="D10" i="6" l="1"/>
  <c r="K10" i="6"/>
  <c r="D9" i="2"/>
  <c r="D10" i="2"/>
  <c r="E10" i="2"/>
  <c r="D9" i="3" l="1"/>
  <c r="D9" i="9" l="1"/>
  <c r="R9" i="8"/>
  <c r="K9" i="8"/>
  <c r="D9" i="8" l="1"/>
  <c r="D9" i="7"/>
  <c r="D9" i="10"/>
  <c r="R9" i="6"/>
  <c r="K9" i="6"/>
  <c r="D9" i="4"/>
  <c r="D9" i="5"/>
  <c r="D9" i="6" l="1"/>
  <c r="S6" i="6"/>
  <c r="L8" i="6"/>
  <c r="L7" i="6"/>
  <c r="L6" i="6"/>
  <c r="D8" i="7" l="1"/>
  <c r="E17" i="3" l="1"/>
  <c r="E16" i="3"/>
  <c r="E15" i="3"/>
  <c r="E14" i="3"/>
  <c r="E13" i="3"/>
  <c r="E12" i="3"/>
  <c r="E11" i="3"/>
  <c r="E10" i="3"/>
  <c r="E9" i="3"/>
  <c r="E8" i="3"/>
  <c r="E7" i="3"/>
  <c r="E6" i="3"/>
  <c r="D8" i="3"/>
  <c r="D7" i="3"/>
  <c r="D6" i="3"/>
  <c r="K8" i="8" l="1"/>
  <c r="R8" i="8"/>
  <c r="D8" i="8" l="1"/>
  <c r="K7" i="4"/>
  <c r="K8" i="4"/>
  <c r="R7" i="8" l="1"/>
  <c r="K7" i="8"/>
  <c r="K7" i="10"/>
  <c r="R8" i="5"/>
  <c r="K8" i="5" l="1"/>
  <c r="D7" i="8"/>
  <c r="D8" i="9"/>
  <c r="R8" i="6"/>
  <c r="K8" i="6"/>
  <c r="R7" i="6"/>
  <c r="K7" i="6"/>
  <c r="R6" i="5"/>
  <c r="D7" i="6" l="1"/>
  <c r="D8" i="6"/>
  <c r="D7" i="9"/>
  <c r="D7" i="7"/>
  <c r="D8" i="1" l="1"/>
  <c r="D7" i="1"/>
  <c r="D6" i="1"/>
  <c r="E6" i="1"/>
  <c r="R6" i="6" l="1"/>
  <c r="D6" i="6" l="1"/>
  <c r="D6" i="9"/>
  <c r="R6" i="8" l="1"/>
  <c r="D6" i="7"/>
  <c r="K6" i="5"/>
  <c r="S13" i="5"/>
  <c r="S6" i="5"/>
  <c r="L6" i="5" l="1"/>
  <c r="D6" i="8"/>
  <c r="K6" i="14"/>
  <c r="E6" i="9"/>
  <c r="E7" i="9"/>
  <c r="E8" i="9"/>
  <c r="E9" i="9"/>
  <c r="E10" i="9"/>
  <c r="E11" i="9"/>
  <c r="E12" i="9"/>
  <c r="E13" i="9"/>
  <c r="E14" i="9"/>
  <c r="E15" i="9"/>
  <c r="E16" i="9"/>
  <c r="E17" i="9"/>
  <c r="S6" i="8"/>
  <c r="S7" i="8"/>
  <c r="S8" i="8"/>
  <c r="S9" i="8"/>
  <c r="S10" i="8"/>
  <c r="S11" i="8"/>
  <c r="S12" i="8"/>
  <c r="S13" i="8"/>
  <c r="S14" i="8"/>
  <c r="S15" i="8"/>
  <c r="S16" i="8"/>
  <c r="S17" i="8"/>
  <c r="L6" i="8"/>
  <c r="L7" i="8"/>
  <c r="L8" i="8"/>
  <c r="L9" i="8"/>
  <c r="L10" i="8"/>
  <c r="L11" i="8"/>
  <c r="L12" i="8"/>
  <c r="L13" i="8"/>
  <c r="L14" i="8"/>
  <c r="L15" i="8"/>
  <c r="L16" i="8"/>
  <c r="L17" i="8"/>
  <c r="E8" i="8"/>
  <c r="E6" i="7"/>
  <c r="E7" i="7"/>
  <c r="E8" i="7"/>
  <c r="E9" i="7"/>
  <c r="E10" i="7"/>
  <c r="E11" i="7"/>
  <c r="E12" i="7"/>
  <c r="E13" i="7"/>
  <c r="E14" i="7"/>
  <c r="E15" i="7"/>
  <c r="E16" i="7"/>
  <c r="E17" i="7"/>
  <c r="S7" i="6"/>
  <c r="S8" i="6"/>
  <c r="S9" i="6"/>
  <c r="S10" i="6"/>
  <c r="S11" i="6"/>
  <c r="S12" i="6"/>
  <c r="S13" i="6"/>
  <c r="S14" i="6"/>
  <c r="S15" i="6"/>
  <c r="S16" i="6"/>
  <c r="S17" i="6"/>
  <c r="L9" i="6"/>
  <c r="L10" i="6"/>
  <c r="L11" i="6"/>
  <c r="L12" i="6"/>
  <c r="L14" i="6"/>
  <c r="L15" i="6"/>
  <c r="L16" i="6"/>
  <c r="L17" i="6"/>
  <c r="L6" i="4"/>
  <c r="L7" i="4"/>
  <c r="L8" i="4"/>
  <c r="L9" i="4"/>
  <c r="L10" i="4"/>
  <c r="L11" i="4"/>
  <c r="L12" i="4"/>
  <c r="L13" i="4"/>
  <c r="L14" i="4"/>
  <c r="L15" i="4"/>
  <c r="L16" i="4"/>
  <c r="L17" i="4"/>
  <c r="L9" i="10"/>
  <c r="L10" i="10"/>
  <c r="L11" i="10"/>
  <c r="L12" i="10"/>
  <c r="L13" i="10"/>
  <c r="L14" i="10"/>
  <c r="L15" i="10"/>
  <c r="L16" i="10"/>
  <c r="L17" i="10"/>
  <c r="S7" i="5"/>
  <c r="S8" i="5"/>
  <c r="S9" i="5"/>
  <c r="S10" i="5"/>
  <c r="S11" i="5"/>
  <c r="S12" i="5"/>
  <c r="L13" i="5"/>
  <c r="S14" i="5"/>
  <c r="S15" i="5"/>
  <c r="S17" i="5"/>
  <c r="E7" i="1"/>
  <c r="E8" i="1"/>
  <c r="E9" i="1"/>
  <c r="E11" i="1"/>
  <c r="E13" i="1"/>
  <c r="E14" i="1"/>
  <c r="E15" i="1"/>
  <c r="E16" i="1"/>
  <c r="E17" i="1"/>
  <c r="E6" i="2"/>
  <c r="E7" i="2"/>
  <c r="E8" i="2"/>
  <c r="E9" i="2"/>
  <c r="E11" i="2"/>
  <c r="E13" i="2"/>
  <c r="E14" i="2"/>
  <c r="E15" i="2"/>
  <c r="E16" i="2"/>
  <c r="E15" i="8" l="1"/>
  <c r="E10" i="8"/>
  <c r="S14" i="14"/>
  <c r="E17" i="6"/>
  <c r="E14" i="6"/>
  <c r="E11" i="6"/>
  <c r="E10" i="6"/>
  <c r="L13" i="6"/>
  <c r="E16" i="6"/>
  <c r="E15" i="6"/>
  <c r="S16" i="14"/>
  <c r="L15" i="5"/>
  <c r="L11" i="5"/>
  <c r="L14" i="5"/>
  <c r="L12" i="5"/>
  <c r="L10" i="5"/>
  <c r="L9" i="5"/>
  <c r="S15" i="14"/>
  <c r="S9" i="14"/>
  <c r="E14" i="8"/>
  <c r="S8" i="14"/>
  <c r="S7" i="14"/>
  <c r="E9" i="6"/>
  <c r="L7" i="5"/>
  <c r="E7" i="8"/>
  <c r="E6" i="8"/>
  <c r="L8" i="5"/>
  <c r="E17" i="8"/>
  <c r="E16" i="8"/>
  <c r="E8" i="6"/>
  <c r="S17" i="14"/>
  <c r="L17" i="5"/>
  <c r="S11" i="14"/>
  <c r="E7" i="6"/>
  <c r="L16" i="5"/>
  <c r="E9" i="8"/>
  <c r="E6" i="6"/>
  <c r="S6" i="14"/>
  <c r="E13" i="8"/>
  <c r="E12" i="8"/>
  <c r="E11" i="8"/>
  <c r="E12" i="6"/>
  <c r="S13" i="14"/>
  <c r="S12" i="14"/>
  <c r="S10" i="14"/>
  <c r="R6" i="14"/>
  <c r="R7" i="14"/>
  <c r="R8" i="14"/>
  <c r="R9" i="14"/>
  <c r="R10" i="14"/>
  <c r="R11" i="14"/>
  <c r="R12" i="14"/>
  <c r="R14" i="14"/>
  <c r="R15" i="14"/>
  <c r="R16" i="14"/>
  <c r="R17" i="14"/>
  <c r="K7" i="14"/>
  <c r="K8" i="14"/>
  <c r="K9" i="14"/>
  <c r="K10" i="14"/>
  <c r="K12" i="14"/>
  <c r="K13" i="14"/>
  <c r="K14" i="14"/>
  <c r="K15" i="14"/>
  <c r="K16" i="14"/>
  <c r="K17" i="14"/>
  <c r="D11" i="14" l="1"/>
  <c r="D13" i="14"/>
  <c r="D17" i="14"/>
  <c r="D6" i="14"/>
  <c r="D15" i="14"/>
  <c r="D14" i="14"/>
  <c r="D16" i="14"/>
  <c r="D9" i="14"/>
  <c r="D12" i="14"/>
  <c r="D10" i="14"/>
  <c r="D8" i="14"/>
  <c r="D7" i="14"/>
  <c r="L7" i="14" l="1"/>
  <c r="L8" i="14"/>
  <c r="L9" i="14"/>
  <c r="L10" i="14"/>
  <c r="L11" i="14"/>
  <c r="L12" i="14"/>
  <c r="L13" i="14"/>
  <c r="L14" i="14"/>
  <c r="L15" i="14"/>
  <c r="E15" i="14" s="1"/>
  <c r="L16" i="14"/>
  <c r="L17" i="14"/>
  <c r="D7" i="2"/>
  <c r="D8" i="2"/>
  <c r="E14" i="14" l="1"/>
  <c r="E10" i="14"/>
  <c r="E17" i="14"/>
  <c r="E9" i="14"/>
  <c r="E12" i="14"/>
  <c r="E16" i="14"/>
  <c r="E13" i="14"/>
  <c r="E11" i="14"/>
  <c r="E7" i="14"/>
  <c r="E8" i="14"/>
  <c r="L6" i="14"/>
  <c r="E6" i="14" l="1"/>
  <c r="J15" i="14" l="1"/>
  <c r="C15" i="14" l="1"/>
  <c r="C17" i="14" l="1"/>
  <c r="C10" i="14"/>
  <c r="C11" i="14"/>
  <c r="J13" i="14"/>
  <c r="J14" i="14"/>
  <c r="J17" i="14"/>
  <c r="J9" i="14"/>
  <c r="J11" i="14"/>
  <c r="Q14" i="14"/>
  <c r="J12" i="14"/>
  <c r="C12" i="14" s="1"/>
  <c r="J10" i="14"/>
  <c r="J16" i="14"/>
  <c r="C13" i="6"/>
  <c r="C11" i="6"/>
  <c r="C16" i="6"/>
  <c r="Q14" i="6"/>
  <c r="C12" i="6"/>
  <c r="C10" i="6"/>
  <c r="C17" i="6"/>
  <c r="C9" i="6"/>
  <c r="C9" i="14" l="1"/>
  <c r="C14" i="14"/>
  <c r="C13" i="14"/>
  <c r="C16" i="14"/>
  <c r="C8" i="14" l="1"/>
  <c r="J8" i="14"/>
  <c r="C8" i="6"/>
  <c r="J7" i="14" l="1"/>
  <c r="C7" i="14" s="1"/>
  <c r="C7" i="6"/>
</calcChain>
</file>

<file path=xl/sharedStrings.xml><?xml version="1.0" encoding="utf-8"?>
<sst xmlns="http://schemas.openxmlformats.org/spreadsheetml/2006/main" count="294" uniqueCount="57">
  <si>
    <t>Long Beach -LGB</t>
  </si>
  <si>
    <t>Los Angeles - LAX</t>
  </si>
  <si>
    <t>San Francisco- SFO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</si>
  <si>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</si>
  <si>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</si>
  <si>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</si>
  <si>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</si>
  <si>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</si>
  <si>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</si>
  <si>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</si>
  <si>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</si>
  <si>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</si>
  <si>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</si>
  <si>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</si>
  <si>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</si>
  <si>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Domestic</t>
  </si>
  <si>
    <t>International</t>
  </si>
  <si>
    <t>Burbank- Bob Hope</t>
  </si>
  <si>
    <t>Oakland- OAK</t>
  </si>
  <si>
    <t>Ontario-ONT</t>
  </si>
  <si>
    <t>Sacramento-SMF</t>
  </si>
  <si>
    <t>San Diego-SAN</t>
  </si>
  <si>
    <t>San Jose-SJC</t>
  </si>
  <si>
    <t>Orange County Santa Ana/John Wayne- SNA</t>
  </si>
  <si>
    <t>Long Beach-LGB</t>
  </si>
  <si>
    <t>Oakland-OAK</t>
  </si>
  <si>
    <t>San Francisco-SFO</t>
  </si>
  <si>
    <t>Los Angeles-LAX</t>
  </si>
  <si>
    <t>YTD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</si>
  <si>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</si>
  <si>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i/>
        <sz val="14"/>
        <color theme="9" tint="-0.249977111117893"/>
        <rFont val="Calibri"/>
        <family val="2"/>
        <scheme val="minor"/>
      </rPr>
      <t>Highest</t>
    </r>
    <r>
      <rPr>
        <b/>
        <i/>
        <sz val="14"/>
        <color theme="1"/>
        <rFont val="Calibri"/>
        <family val="2"/>
        <scheme val="minor"/>
      </rPr>
      <t xml:space="preserve"> and</t>
    </r>
    <r>
      <rPr>
        <b/>
        <i/>
        <sz val="14"/>
        <color theme="4" tint="-0.249977111117893"/>
        <rFont val="Calibri"/>
        <family val="2"/>
        <scheme val="minor"/>
      </rPr>
      <t xml:space="preserve"> lowest</t>
    </r>
    <r>
      <rPr>
        <b/>
        <i/>
        <sz val="14"/>
        <color theme="1"/>
        <rFont val="Calibri"/>
        <family val="2"/>
        <scheme val="minor"/>
      </rPr>
      <t xml:space="preserve"> travel months in ranking of busiest to slowest airports</t>
    </r>
  </si>
  <si>
    <t>Highest traveled month:</t>
  </si>
  <si>
    <t>Lowest traveled month:</t>
  </si>
  <si>
    <t>(out of 10 airports)</t>
  </si>
  <si>
    <t>Orange County- SNA</t>
  </si>
  <si>
    <t xml:space="preserve">YTD </t>
  </si>
  <si>
    <t>DATA TO BE COMPILED AT A LATER DATE</t>
  </si>
  <si>
    <t>Source: Long Beach Airport</t>
  </si>
  <si>
    <t>Source: LAWA</t>
  </si>
  <si>
    <t>Source: John Wayne Airport</t>
  </si>
  <si>
    <t>Source: Oakland International Airport</t>
  </si>
  <si>
    <t>Source: Mineta San Jose International Airport</t>
  </si>
  <si>
    <t>Source: San Francisco International Airport</t>
  </si>
  <si>
    <t>Source: Sacramento International Airport</t>
  </si>
  <si>
    <t>Source: San Diego International Airport</t>
  </si>
  <si>
    <t>Source: Bob Hope Airport</t>
  </si>
  <si>
    <t>Sources:  Individual airports</t>
  </si>
  <si>
    <t>Totals</t>
  </si>
  <si>
    <t xml:space="preserve"> </t>
  </si>
  <si>
    <t>Note:  Monthly figures may not sum to YTD totals due to data revisions</t>
  </si>
  <si>
    <t xml:space="preserve">  </t>
  </si>
  <si>
    <t>YTD *</t>
  </si>
  <si>
    <t>Note:  Monthly figures may not sum to YTD totals due to data revisions. Added China direct flights in 2018</t>
  </si>
  <si>
    <t>CALIFORNIA TOTALS</t>
  </si>
  <si>
    <t>% Change from 2019</t>
  </si>
  <si>
    <t>Total</t>
  </si>
  <si>
    <t>% Change from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</si>
</sst>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theme="9" tint="-0.249977111117893"/>
      <name val="Calibri"/>
      <family val="2"/>
      <scheme val="minor"/>
    </font>
    <font>
      <b/>
      <i/>
      <sz val="14"/>
      <color theme="4" tint="-0.249977111117893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20"/>
      <color theme="1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7C60F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3399"/>
      </left>
      <right style="thin">
        <color rgb="FF003399"/>
      </right>
      <top style="thin">
        <color rgb="FF003399"/>
      </top>
      <bottom style="thin">
        <color rgb="FF003399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6" fillId="0" borderId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0" fillId="0" borderId="0" xfId="0" applyNumberFormat="1"/>
    <xf numFmtId="0" fontId="0" fillId="0" borderId="0" xfId="0" applyFill="1"/>
    <xf numFmtId="0" fontId="5" fillId="0" borderId="4" xfId="0" applyFont="1" applyBorder="1" applyAlignment="1"/>
    <xf numFmtId="0" fontId="5" fillId="0" borderId="0" xfId="0" applyFont="1" applyAlignment="1"/>
    <xf numFmtId="0" fontId="0" fillId="4" borderId="1" xfId="0" applyFon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4" borderId="1" xfId="0" applyNumberFormat="1" applyFont="1" applyFill="1" applyBorder="1" applyAlignment="1">
      <alignment horizontal="center"/>
    </xf>
    <xf numFmtId="3" fontId="0" fillId="5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 applyProtection="1">
      <alignment horizontal="center"/>
    </xf>
    <xf numFmtId="37" fontId="4" fillId="5" borderId="1" xfId="0" applyNumberFormat="1" applyFont="1" applyFill="1" applyBorder="1" applyAlignment="1" applyProtection="1">
      <alignment horizontal="center"/>
    </xf>
    <xf numFmtId="3" fontId="0" fillId="4" borderId="3" xfId="0" applyNumberFormat="1" applyFont="1" applyFill="1" applyBorder="1" applyAlignment="1">
      <alignment horizontal="center" wrapText="1"/>
    </xf>
    <xf numFmtId="3" fontId="0" fillId="5" borderId="3" xfId="0" applyNumberFormat="1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3" fillId="0" borderId="0" xfId="0" applyFont="1"/>
    <xf numFmtId="16" fontId="0" fillId="4" borderId="1" xfId="0" applyNumberFormat="1" applyFont="1" applyFill="1" applyBorder="1"/>
    <xf numFmtId="0" fontId="0" fillId="4" borderId="1" xfId="0" applyFont="1" applyFill="1" applyBorder="1"/>
    <xf numFmtId="0" fontId="0" fillId="5" borderId="1" xfId="0" applyFont="1" applyFill="1" applyBorder="1"/>
    <xf numFmtId="0" fontId="9" fillId="0" borderId="0" xfId="0" applyFont="1"/>
    <xf numFmtId="0" fontId="10" fillId="0" borderId="0" xfId="0" applyFont="1"/>
    <xf numFmtId="0" fontId="9" fillId="0" borderId="4" xfId="0" applyFont="1" applyBorder="1" applyAlignment="1"/>
    <xf numFmtId="0" fontId="9" fillId="0" borderId="0" xfId="0" applyFont="1" applyAlignment="1"/>
    <xf numFmtId="0" fontId="1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2" fillId="0" borderId="0" xfId="0" applyFont="1" applyAlignment="1"/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Border="1"/>
    <xf numFmtId="0" fontId="2" fillId="0" borderId="0" xfId="0" applyFont="1" applyBorder="1"/>
    <xf numFmtId="0" fontId="14" fillId="0" borderId="1" xfId="0" applyFont="1" applyBorder="1" applyAlignment="1">
      <alignment horizontal="center"/>
    </xf>
    <xf numFmtId="0" fontId="14" fillId="0" borderId="0" xfId="0" applyFont="1" applyFill="1" applyBorder="1"/>
    <xf numFmtId="0" fontId="2" fillId="0" borderId="1" xfId="0" applyFont="1" applyBorder="1"/>
    <xf numFmtId="3" fontId="14" fillId="0" borderId="0" xfId="0" applyNumberFormat="1" applyFont="1"/>
    <xf numFmtId="0" fontId="14" fillId="0" borderId="0" xfId="0" applyFont="1" applyFill="1"/>
    <xf numFmtId="0" fontId="2" fillId="0" borderId="1" xfId="0" applyFont="1" applyFill="1" applyBorder="1"/>
    <xf numFmtId="0" fontId="15" fillId="0" borderId="0" xfId="0" applyFont="1" applyFill="1" applyBorder="1"/>
    <xf numFmtId="0" fontId="2" fillId="3" borderId="1" xfId="0" applyFont="1" applyFill="1" applyBorder="1"/>
    <xf numFmtId="0" fontId="14" fillId="0" borderId="0" xfId="0" applyFont="1" applyAlignment="1">
      <alignment horizontal="center"/>
    </xf>
    <xf numFmtId="3" fontId="0" fillId="0" borderId="0" xfId="0" applyNumberFormat="1" applyFill="1"/>
    <xf numFmtId="0" fontId="14" fillId="3" borderId="0" xfId="0" applyFont="1" applyFill="1"/>
    <xf numFmtId="0" fontId="0" fillId="3" borderId="0" xfId="0" applyFill="1"/>
    <xf numFmtId="3" fontId="0" fillId="0" borderId="0" xfId="0" applyNumberFormat="1" applyAlignment="1">
      <alignment horizontal="center"/>
    </xf>
    <xf numFmtId="0" fontId="2" fillId="7" borderId="1" xfId="0" applyFont="1" applyFill="1" applyBorder="1"/>
    <xf numFmtId="0" fontId="14" fillId="10" borderId="1" xfId="0" applyFont="1" applyFill="1" applyBorder="1" applyAlignment="1">
      <alignment horizontal="center"/>
    </xf>
    <xf numFmtId="0" fontId="14" fillId="10" borderId="1" xfId="0" applyFont="1" applyFill="1" applyBorder="1"/>
    <xf numFmtId="0" fontId="18" fillId="0" borderId="0" xfId="0" applyFont="1" applyBorder="1"/>
    <xf numFmtId="0" fontId="18" fillId="0" borderId="0" xfId="0" applyFont="1" applyFill="1" applyBorder="1"/>
    <xf numFmtId="0" fontId="14" fillId="12" borderId="1" xfId="0" applyFont="1" applyFill="1" applyBorder="1" applyAlignment="1">
      <alignment horizontal="center"/>
    </xf>
    <xf numFmtId="0" fontId="14" fillId="12" borderId="1" xfId="0" applyFont="1" applyFill="1" applyBorder="1"/>
    <xf numFmtId="0" fontId="21" fillId="0" borderId="0" xfId="2" applyFill="1" applyBorder="1"/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/>
    <xf numFmtId="3" fontId="14" fillId="2" borderId="2" xfId="0" applyNumberFormat="1" applyFont="1" applyFill="1" applyBorder="1"/>
    <xf numFmtId="164" fontId="14" fillId="2" borderId="1" xfId="0" applyNumberFormat="1" applyFont="1" applyFill="1" applyBorder="1"/>
    <xf numFmtId="3" fontId="14" fillId="2" borderId="1" xfId="0" applyNumberFormat="1" applyFont="1" applyFill="1" applyBorder="1"/>
    <xf numFmtId="3" fontId="14" fillId="2" borderId="5" xfId="0" applyNumberFormat="1" applyFont="1" applyFill="1" applyBorder="1"/>
    <xf numFmtId="165" fontId="14" fillId="0" borderId="1" xfId="3" applyNumberFormat="1" applyFont="1" applyBorder="1"/>
    <xf numFmtId="165" fontId="14" fillId="12" borderId="1" xfId="3" applyNumberFormat="1" applyFont="1" applyFill="1" applyBorder="1"/>
    <xf numFmtId="165" fontId="14" fillId="10" borderId="1" xfId="3" applyNumberFormat="1" applyFont="1" applyFill="1" applyBorder="1"/>
    <xf numFmtId="0" fontId="20" fillId="11" borderId="0" xfId="0" applyFont="1" applyFill="1" applyAlignment="1">
      <alignment horizontal="center" vertical="center"/>
    </xf>
    <xf numFmtId="0" fontId="2" fillId="0" borderId="0" xfId="0" applyFont="1" applyFill="1" applyBorder="1"/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0" xfId="0" applyFont="1"/>
    <xf numFmtId="0" fontId="14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165" fontId="14" fillId="0" borderId="1" xfId="3" applyNumberFormat="1" applyFont="1" applyBorder="1" applyAlignment="1">
      <alignment horizontal="center" vertical="center"/>
    </xf>
    <xf numFmtId="165" fontId="14" fillId="7" borderId="1" xfId="3" applyNumberFormat="1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/>
    </xf>
    <xf numFmtId="165" fontId="14" fillId="0" borderId="1" xfId="3" applyNumberFormat="1" applyFont="1" applyBorder="1" applyAlignment="1">
      <alignment horizontal="center"/>
    </xf>
    <xf numFmtId="165" fontId="14" fillId="10" borderId="1" xfId="3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165" fontId="14" fillId="12" borderId="1" xfId="3" applyNumberFormat="1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165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165" fontId="14" fillId="7" borderId="1" xfId="0" applyNumberFormat="1" applyFont="1" applyFill="1" applyBorder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19" fillId="9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horizontal="center" vertical="center"/>
    </xf>
    <xf numFmtId="0" fontId="19" fillId="9" borderId="7" xfId="0" applyFont="1" applyFill="1" applyBorder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19" fillId="8" borderId="6" xfId="0" applyFont="1" applyFill="1" applyBorder="1" applyAlignment="1">
      <alignment horizontal="center" vertical="center"/>
    </xf>
    <xf numFmtId="0" fontId="19" fillId="9" borderId="4" xfId="0" applyFont="1" applyFill="1" applyBorder="1" applyAlignment="1">
      <alignment horizontal="center" vertical="center"/>
    </xf>
    <xf numFmtId="0" fontId="19" fillId="9" borderId="6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center" vertical="center"/>
    </xf>
    <xf numFmtId="0" fontId="19" fillId="8" borderId="7" xfId="0" applyFont="1" applyFill="1" applyBorder="1" applyAlignment="1">
      <alignment horizontal="center" vertical="center"/>
    </xf>
    <xf numFmtId="9" fontId="14" fillId="0" borderId="1" xfId="4" applyFont="1" applyBorder="1" applyAlignment="1">
      <alignment horizontal="center" vertical="center"/>
    </xf>
    <xf numFmtId="9" fontId="14" fillId="7" borderId="1" xfId="4" applyFont="1" applyFill="1" applyBorder="1" applyAlignment="1">
      <alignment horizontal="center" vertical="center"/>
    </xf>
    <xf numFmtId="9" fontId="14" fillId="0" borderId="1" xfId="4" applyFont="1" applyBorder="1" applyAlignment="1">
      <alignment horizontal="center"/>
    </xf>
    <xf numFmtId="9" fontId="14" fillId="12" borderId="1" xfId="4" applyFont="1" applyFill="1" applyBorder="1" applyAlignment="1">
      <alignment horizontal="center"/>
    </xf>
    <xf numFmtId="9" fontId="14" fillId="10" borderId="1" xfId="4" applyFont="1" applyFill="1" applyBorder="1" applyAlignment="1">
      <alignment horizontal="center"/>
    </xf>
    <xf numFmtId="3" fontId="14" fillId="0" borderId="1" xfId="0" applyNumberFormat="1" applyFont="1" applyBorder="1"/>
    <xf numFmtId="3" fontId="14" fillId="7" borderId="1" xfId="0" applyNumberFormat="1" applyFont="1" applyFill="1" applyBorder="1"/>
  </cellXfs>
  <cellStyles count="5">
    <cellStyle name="Comma" xfId="3" builtinId="3"/>
    <cellStyle name="Hyperlink" xfId="2" builtinId="8"/>
    <cellStyle name="Normal" xfId="0" builtinId="0"/>
    <cellStyle name="Normal 2" xfId="1" xr:uid="{00000000-0005-0000-0000-000002000000}"/>
    <cellStyle name="Percent" xfId="4" builtinId="5"/>
  </cellStyles>
  <dxfs count="0"/>
  <tableStyles count="0" defaultTableStyle="TableStyleMedium9" defaultPivotStyle="PivotStyleLight16"/>
  <colors>
    <mruColors>
      <color rgb="FFFDF4D3"/>
      <color rgb="FFFDEDA9"/>
      <color rgb="FFF7C60F"/>
      <color rgb="FFF7E131"/>
      <color rgb="FFFFFC00"/>
      <color rgb="FFFFCC66"/>
      <color rgb="FF397DCF"/>
      <color rgb="FFE6AF00"/>
      <color rgb="FFA7FBFF"/>
      <color rgb="FFFBA9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26"/>
  <sheetViews>
    <sheetView zoomScaleNormal="100" zoomScaleSheetLayoutView="90" workbookViewId="0">
      <selection activeCell="T4" sqref="T4"/>
    </sheetView>
  </sheetViews>
  <sheetFormatPr baseColWidth="10" defaultColWidth="8.83203125" defaultRowHeight="19" x14ac:dyDescent="0.25"/>
  <cols>
    <col min="1" max="2" width="13.83203125" style="33" customWidth="1"/>
    <col min="3" max="3" width="13.83203125" style="83" customWidth="1"/>
    <col min="4" max="4" width="16.5" style="83" bestFit="1" customWidth="1"/>
    <col min="5" max="7" width="13.83203125" style="83" customWidth="1"/>
    <col min="8" max="12" width="13.83203125" style="33" customWidth="1"/>
    <col min="13" max="14" width="13.83203125" style="83" customWidth="1"/>
    <col min="15" max="21" width="13.83203125" style="33" customWidth="1"/>
    <col min="23" max="23" width="9.33203125" customWidth="1"/>
  </cols>
  <sheetData>
    <row r="1" spans="1:59" ht="35" customHeight="1" x14ac:dyDescent="0.2">
      <c r="A1" s="97" t="s">
        <v>53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spans="1:59" ht="15" x14ac:dyDescent="0.2">
      <c r="A2"/>
      <c r="B2"/>
      <c r="C2" s="74"/>
      <c r="D2" s="74"/>
      <c r="E2" s="74"/>
      <c r="F2" s="74"/>
      <c r="G2" s="74"/>
      <c r="H2"/>
      <c r="I2"/>
      <c r="J2"/>
      <c r="K2"/>
      <c r="L2"/>
      <c r="M2" s="74"/>
      <c r="N2" s="74"/>
      <c r="O2"/>
      <c r="P2"/>
      <c r="Q2"/>
      <c r="R2"/>
      <c r="S2"/>
      <c r="T2"/>
      <c r="U2"/>
    </row>
    <row r="3" spans="1:59" s="74" customFormat="1" ht="34" customHeight="1" x14ac:dyDescent="0.2">
      <c r="A3" s="71"/>
      <c r="B3" s="100" t="s">
        <v>47</v>
      </c>
      <c r="C3" s="100"/>
      <c r="D3" s="100"/>
      <c r="E3" s="100"/>
      <c r="F3" s="100"/>
      <c r="G3" s="101"/>
      <c r="H3" s="72"/>
      <c r="I3" s="104" t="s">
        <v>15</v>
      </c>
      <c r="J3" s="104"/>
      <c r="K3" s="104"/>
      <c r="L3" s="104"/>
      <c r="M3" s="104"/>
      <c r="N3" s="105"/>
      <c r="O3" s="73"/>
      <c r="P3" s="106" t="s">
        <v>16</v>
      </c>
      <c r="Q3" s="106"/>
      <c r="R3" s="106"/>
      <c r="S3" s="106"/>
      <c r="T3" s="106"/>
      <c r="U3" s="107"/>
    </row>
    <row r="4" spans="1:59" s="70" customFormat="1" ht="40" x14ac:dyDescent="0.25">
      <c r="A4" s="35"/>
      <c r="B4" s="75">
        <v>2022</v>
      </c>
      <c r="C4" s="75">
        <v>2021</v>
      </c>
      <c r="D4" s="75">
        <v>2020</v>
      </c>
      <c r="E4" s="75">
        <v>2019</v>
      </c>
      <c r="F4" s="76" t="s">
        <v>56</v>
      </c>
      <c r="G4" s="76" t="s">
        <v>54</v>
      </c>
      <c r="H4" s="67"/>
      <c r="I4" s="69">
        <v>2022</v>
      </c>
      <c r="J4" s="69">
        <v>2021</v>
      </c>
      <c r="K4" s="69">
        <v>2020</v>
      </c>
      <c r="L4" s="69">
        <v>2019</v>
      </c>
      <c r="M4" s="76" t="s">
        <v>56</v>
      </c>
      <c r="N4" s="76" t="s">
        <v>54</v>
      </c>
      <c r="O4" s="67"/>
      <c r="P4" s="69">
        <v>2022</v>
      </c>
      <c r="Q4" s="69">
        <v>2021</v>
      </c>
      <c r="R4" s="69">
        <v>2020</v>
      </c>
      <c r="S4" s="69">
        <v>2019</v>
      </c>
      <c r="T4" s="76" t="s">
        <v>56</v>
      </c>
      <c r="U4" s="68" t="s">
        <v>54</v>
      </c>
    </row>
    <row r="5" spans="1:59" ht="25" customHeight="1" x14ac:dyDescent="0.25">
      <c r="A5" s="49"/>
      <c r="B5" s="49"/>
      <c r="C5" s="77"/>
      <c r="D5" s="78"/>
      <c r="E5" s="78"/>
      <c r="F5" s="78"/>
      <c r="G5" s="78"/>
      <c r="H5" s="37"/>
      <c r="I5" s="54"/>
      <c r="J5" s="54"/>
      <c r="K5" s="54"/>
      <c r="L5" s="55"/>
      <c r="M5" s="87"/>
      <c r="N5" s="87"/>
      <c r="O5" s="37"/>
      <c r="P5" s="50"/>
      <c r="Q5" s="50"/>
      <c r="R5" s="50"/>
      <c r="S5" s="51"/>
      <c r="T5" s="50"/>
      <c r="U5" s="50"/>
    </row>
    <row r="6" spans="1:59" ht="25" customHeight="1" x14ac:dyDescent="0.25">
      <c r="A6" s="38" t="s">
        <v>3</v>
      </c>
      <c r="B6" s="79">
        <f>SUM(I6,P6)</f>
        <v>10554919</v>
      </c>
      <c r="C6" s="79">
        <f>SUM(J6,Q6)</f>
        <v>4263584</v>
      </c>
      <c r="D6" s="79">
        <f>SUM(K6,R6)</f>
        <v>17927298</v>
      </c>
      <c r="E6" s="79">
        <f>SUM(L6,S6)</f>
        <v>17509241</v>
      </c>
      <c r="F6" s="110">
        <f>B6/C6-1</f>
        <v>1.4755977600066048</v>
      </c>
      <c r="G6" s="110">
        <f>B6/E6-1</f>
        <v>-0.39718009478537653</v>
      </c>
      <c r="H6" s="90"/>
      <c r="I6" s="88">
        <f>'Los Angeles'!I6+Burbank!I6+'Long Beach'!I6+Ontario!I6+'Orange County'!I6+Oakland!I6+Sacramento!I6+'San Diego'!I6+'San Jose'!I6+'San Francisco'!I6</f>
        <v>9139955</v>
      </c>
      <c r="J6" s="88">
        <f>'Los Angeles'!J6+Burbank!J6+'Long Beach'!J6+Ontario!J6+'Orange County'!J6+Oakland!J6+Sacramento!J6+'San Diego'!J6+'San Jose'!J6+'San Francisco'!J6</f>
        <v>3705606</v>
      </c>
      <c r="K6" s="88">
        <f>'Los Angeles'!K6+Burbank!K6+'Long Beach'!K6+Ontario!K6+'Orange County'!K6+Oakland!K6+Sacramento!K6+'San Diego'!K6+'San Jose'!K6+'San Francisco'!K6</f>
        <v>14409007</v>
      </c>
      <c r="L6" s="88">
        <f>'Los Angeles'!L6+Burbank!L6+'Long Beach'!L6+Ontario!L6+'Orange County'!L6+Oakland!L6+Sacramento!L6+'San Diego'!L6+'San Jose'!L6+'San Francisco'!L6</f>
        <v>14014502</v>
      </c>
      <c r="M6" s="112">
        <f>I6/J6-1</f>
        <v>1.4665209954862983</v>
      </c>
      <c r="N6" s="112">
        <f>I6/L6-1</f>
        <v>-0.34782163504632557</v>
      </c>
      <c r="O6" s="91"/>
      <c r="P6" s="88">
        <f>'Los Angeles'!P6+Ontario!P6+'Orange County'!P6+Oakland!P6+Sacramento!P6+'San Diego'!P6+'San Jose'!P6+'San Francisco'!P6</f>
        <v>1414964</v>
      </c>
      <c r="Q6" s="88">
        <f>'Los Angeles'!Q6+Ontario!Q6+'Orange County'!Q6+Oakland!Q6+Sacramento!Q6+'San Diego'!Q6+'San Jose'!Q6+'San Francisco'!Q6</f>
        <v>557978</v>
      </c>
      <c r="R6" s="88">
        <f>'Los Angeles'!R6+Ontario!R6+'Orange County'!R6+Oakland!R6+Sacramento!R6+'San Diego'!R6+'San Jose'!R6+'San Francisco'!R6</f>
        <v>3518291</v>
      </c>
      <c r="S6" s="88">
        <f>'Los Angeles'!S6+Ontario!S6+'Orange County'!S6+Oakland!S6+Sacramento!S6+'San Diego'!S6+'San Jose'!S6+'San Francisco'!S6</f>
        <v>3494739</v>
      </c>
      <c r="T6" s="112">
        <f>P6/Q6-1</f>
        <v>1.5358777586213077</v>
      </c>
      <c r="U6" s="112">
        <f>P6/S6-1</f>
        <v>-0.59511597289525775</v>
      </c>
    </row>
    <row r="7" spans="1:59" ht="25" customHeight="1" x14ac:dyDescent="0.25">
      <c r="A7" s="49" t="s">
        <v>4</v>
      </c>
      <c r="B7" s="80">
        <f>SUM(I7,P7)</f>
        <v>11302928</v>
      </c>
      <c r="C7" s="80">
        <f>SUM(J7,Q7)</f>
        <v>4251879</v>
      </c>
      <c r="D7" s="80">
        <f>SUM(K7,R7)</f>
        <v>16150142</v>
      </c>
      <c r="E7" s="80">
        <f>SUM(L7,S7)</f>
        <v>16048966</v>
      </c>
      <c r="F7" s="111">
        <f t="shared" ref="F7:F18" si="0">B7/C7-1</f>
        <v>1.6583371728123026</v>
      </c>
      <c r="G7" s="111">
        <f t="shared" ref="G7:G18" si="1">B7/E7-1</f>
        <v>-0.2957223537017899</v>
      </c>
      <c r="H7" s="90"/>
      <c r="I7" s="92">
        <f>'Los Angeles'!I7+Burbank!I7+'Long Beach'!I7+Ontario!I7+'Orange County'!I7+Oakland!I7+Sacramento!I7+'San Diego'!I7+'San Jose'!I7+'San Francisco'!I7</f>
        <v>10088984</v>
      </c>
      <c r="J7" s="92">
        <f>'Los Angeles'!J7+Burbank!J7+'Long Beach'!J7+Ontario!J7+'Orange County'!J7+Oakland!J7+Sacramento!J7+'San Diego'!J7+'San Jose'!J7+'San Francisco'!J7</f>
        <v>3890582</v>
      </c>
      <c r="K7" s="92">
        <f>'Los Angeles'!K7+Burbank!K7+'Long Beach'!K7+Ontario!K7+'Orange County'!K7+Oakland!K7+Sacramento!K7+'San Diego'!K7+'San Jose'!K7+'San Francisco'!K7</f>
        <v>13509201</v>
      </c>
      <c r="L7" s="92">
        <f>'Los Angeles'!L7+Burbank!L7+'Long Beach'!L7+Ontario!L7+'Orange County'!L7+Oakland!L7+Sacramento!L7+'San Diego'!L7+'San Jose'!L7+'San Francisco'!L7</f>
        <v>13100720</v>
      </c>
      <c r="M7" s="113">
        <f t="shared" ref="M7:M18" si="2">I7/J7-1</f>
        <v>1.5931811744361126</v>
      </c>
      <c r="N7" s="113">
        <f t="shared" ref="N7:N18" si="3">I7/L7-1</f>
        <v>-0.22989087622665016</v>
      </c>
      <c r="O7" s="90"/>
      <c r="P7" s="89">
        <f>'Los Angeles'!P7+Ontario!P7+'Orange County'!P7+Oakland!P7+Sacramento!P7+'San Diego'!P7+'San Jose'!P7+'San Francisco'!P7</f>
        <v>1213944</v>
      </c>
      <c r="Q7" s="89">
        <f>'Los Angeles'!Q7+Ontario!Q7+'Orange County'!Q7+Oakland!Q7+Sacramento!Q7+'San Diego'!Q7+'San Jose'!Q7+'San Francisco'!Q7</f>
        <v>361297</v>
      </c>
      <c r="R7" s="89">
        <f>'Los Angeles'!R7+Ontario!R7+'Orange County'!R7+Oakland!R7+Sacramento!R7+'San Diego'!R7+'San Jose'!R7+'San Francisco'!R7</f>
        <v>2640941</v>
      </c>
      <c r="S7" s="89">
        <f>'Los Angeles'!S7+Ontario!S7+'Orange County'!S7+Oakland!S7+Sacramento!S7+'San Diego'!S7+'San Jose'!S7+'San Francisco'!S7</f>
        <v>2948246</v>
      </c>
      <c r="T7" s="114">
        <f t="shared" ref="T7:T18" si="4">P7/Q7-1</f>
        <v>2.359961472140649</v>
      </c>
      <c r="U7" s="114">
        <f t="shared" ref="U7:U18" si="5">P7/S7-1</f>
        <v>-0.58824874179427367</v>
      </c>
      <c r="W7" s="5"/>
      <c r="X7" s="5"/>
    </row>
    <row r="8" spans="1:59" s="6" customFormat="1" ht="25" customHeight="1" x14ac:dyDescent="0.25">
      <c r="A8" s="41" t="s">
        <v>5</v>
      </c>
      <c r="B8" s="41"/>
      <c r="C8" s="79">
        <f>SUM(J8,Q8)</f>
        <v>6830848</v>
      </c>
      <c r="D8" s="79">
        <f>SUM(K8,R8)</f>
        <v>8520466</v>
      </c>
      <c r="E8" s="79">
        <f>SUM(L8,S8)</f>
        <v>19545437</v>
      </c>
      <c r="F8" s="110">
        <f t="shared" si="0"/>
        <v>-1</v>
      </c>
      <c r="G8" s="110">
        <f t="shared" si="1"/>
        <v>-1</v>
      </c>
      <c r="H8" s="90"/>
      <c r="I8" s="88"/>
      <c r="J8" s="88">
        <f>'Los Angeles'!J8+Burbank!J8+'Long Beach'!J8+Ontario!J8+'Orange County'!J8+Oakland!J8+Sacramento!J8+'San Diego'!J8+'San Jose'!J8+'San Francisco'!J8</f>
        <v>6303117</v>
      </c>
      <c r="K8" s="88">
        <f>'Los Angeles'!K8+Burbank!K8+'Long Beach'!K8+Ontario!K8+'Orange County'!K8+Oakland!K8+Sacramento!K8+'San Diego'!K8+'San Jose'!K8+'San Francisco'!K8</f>
        <v>7052175</v>
      </c>
      <c r="L8" s="88">
        <f>'Los Angeles'!L8+Burbank!L8+'Long Beach'!L8+Ontario!L8+'Orange County'!L8+Oakland!L8+Sacramento!L8+'San Diego'!L8+'San Jose'!L8+'San Francisco'!L8</f>
        <v>16082812</v>
      </c>
      <c r="M8" s="112">
        <f t="shared" si="2"/>
        <v>-1</v>
      </c>
      <c r="N8" s="112">
        <f t="shared" si="3"/>
        <v>-1</v>
      </c>
      <c r="O8" s="90"/>
      <c r="P8" s="88"/>
      <c r="Q8" s="88">
        <f>'Los Angeles'!Q8+Ontario!Q8+'Orange County'!Q8+Oakland!Q8+Sacramento!Q8+'San Diego'!Q8+'San Jose'!Q8+'San Francisco'!Q8</f>
        <v>527731</v>
      </c>
      <c r="R8" s="88">
        <f>'Los Angeles'!R8+Ontario!R8+'Orange County'!R8+Oakland!R8+Sacramento!R8+'San Diego'!R8+'San Jose'!R8+'San Francisco'!R8</f>
        <v>1468291</v>
      </c>
      <c r="S8" s="88">
        <f>'Los Angeles'!S8+Ontario!S8+'Orange County'!S8+Oakland!S8+Sacramento!S8+'San Diego'!S8+'San Jose'!S8+'San Francisco'!S8</f>
        <v>3462625</v>
      </c>
      <c r="T8" s="112">
        <f t="shared" si="4"/>
        <v>-1</v>
      </c>
      <c r="U8" s="112">
        <f t="shared" si="5"/>
        <v>-1</v>
      </c>
      <c r="W8" s="45"/>
      <c r="X8" s="45"/>
    </row>
    <row r="9" spans="1:59" ht="25" customHeight="1" x14ac:dyDescent="0.25">
      <c r="A9" s="49" t="s">
        <v>6</v>
      </c>
      <c r="B9" s="49"/>
      <c r="C9" s="80">
        <f>SUM(J9,Q9)</f>
        <v>7970564</v>
      </c>
      <c r="D9" s="80">
        <f>SUM(K9,R9)</f>
        <v>739133</v>
      </c>
      <c r="E9" s="80">
        <f>SUM(L9,S9)</f>
        <v>19652201</v>
      </c>
      <c r="F9" s="111">
        <f t="shared" si="0"/>
        <v>-1</v>
      </c>
      <c r="G9" s="111">
        <f t="shared" si="1"/>
        <v>-1</v>
      </c>
      <c r="H9" s="90"/>
      <c r="I9" s="92"/>
      <c r="J9" s="92">
        <f>'Los Angeles'!J9+Burbank!J9+'Long Beach'!J9+Ontario!J9+'Orange County'!J9+Oakland!J9+Sacramento!J9+'San Diego'!J9+'San Jose'!J9+'San Francisco'!J9</f>
        <v>7325857</v>
      </c>
      <c r="K9" s="92">
        <f>'Los Angeles'!K9+Burbank!K9+'Long Beach'!K9+Ontario!K9+'Orange County'!K9+Oakland!K9+Sacramento!K9+'San Diego'!K9+'San Jose'!K9+'San Francisco'!K9</f>
        <v>654059</v>
      </c>
      <c r="L9" s="92">
        <f>'Los Angeles'!L9+Burbank!L9+'Long Beach'!L9+Ontario!L9+'Orange County'!L9+Oakland!L9+Sacramento!L9+'San Diego'!L9+'San Jose'!L9+'San Francisco'!L9</f>
        <v>16033953</v>
      </c>
      <c r="M9" s="113">
        <f t="shared" si="2"/>
        <v>-1</v>
      </c>
      <c r="N9" s="113">
        <f t="shared" si="3"/>
        <v>-1</v>
      </c>
      <c r="O9" s="90"/>
      <c r="P9" s="89"/>
      <c r="Q9" s="89">
        <f>'Los Angeles'!Q9+Ontario!Q9+'Orange County'!Q9+Oakland!Q9+Sacramento!Q9+'San Diego'!Q9+'San Jose'!Q9+'San Francisco'!Q9</f>
        <v>644707</v>
      </c>
      <c r="R9" s="89">
        <f>'Los Angeles'!R9+Ontario!R9+'Orange County'!R9+Oakland!R9+Sacramento!R9+'San Diego'!R9+'San Jose'!R9+'San Francisco'!R9</f>
        <v>85074</v>
      </c>
      <c r="S9" s="89">
        <f>'Los Angeles'!S9+Ontario!S9+'Orange County'!S9+Oakland!S9+Sacramento!S9+'San Diego'!S9+'San Jose'!S9+'San Francisco'!S9</f>
        <v>3618248</v>
      </c>
      <c r="T9" s="114">
        <f t="shared" si="4"/>
        <v>-1</v>
      </c>
      <c r="U9" s="114">
        <f t="shared" si="5"/>
        <v>-1</v>
      </c>
      <c r="W9" s="5"/>
    </row>
    <row r="10" spans="1:59" ht="25" customHeight="1" x14ac:dyDescent="0.25">
      <c r="A10" s="38" t="s">
        <v>7</v>
      </c>
      <c r="B10" s="38"/>
      <c r="C10" s="79">
        <f>SUM(J10,Q10)</f>
        <v>10125888</v>
      </c>
      <c r="D10" s="79">
        <f>SUM(K10,R10)</f>
        <v>1591004</v>
      </c>
      <c r="E10" s="79">
        <f>SUM(L10,S10)</f>
        <v>20696477</v>
      </c>
      <c r="F10" s="110">
        <f t="shared" si="0"/>
        <v>-1</v>
      </c>
      <c r="G10" s="110">
        <f t="shared" si="1"/>
        <v>-1</v>
      </c>
      <c r="H10" s="90"/>
      <c r="I10" s="88"/>
      <c r="J10" s="88">
        <f>'Los Angeles'!J10+Burbank!J10+'Long Beach'!J10+Ontario!J10+'Orange County'!J10+Oakland!J10+Sacramento!J10+'San Diego'!J10+'San Jose'!J10+'San Francisco'!J10</f>
        <v>9245291</v>
      </c>
      <c r="K10" s="88">
        <f>'Los Angeles'!K10+Burbank!K10+'Long Beach'!K10+Ontario!K10+'Orange County'!K10+Oakland!K10+Sacramento!K10+'San Diego'!K10+'San Jose'!K10+'San Francisco'!K10</f>
        <v>1507544</v>
      </c>
      <c r="L10" s="88">
        <f>'Los Angeles'!L10+Burbank!L10+'Long Beach'!L10+Ontario!L10+'Orange County'!L10+Oakland!L10+Sacramento!L10+'San Diego'!L10+'San Jose'!L10+'San Francisco'!L10</f>
        <v>16854310</v>
      </c>
      <c r="M10" s="112">
        <f t="shared" si="2"/>
        <v>-1</v>
      </c>
      <c r="N10" s="112">
        <f t="shared" si="3"/>
        <v>-1</v>
      </c>
      <c r="O10" s="90"/>
      <c r="P10" s="88"/>
      <c r="Q10" s="88">
        <f>'Los Angeles'!Q10+Ontario!Q10+'Orange County'!Q10+Oakland!Q10+Sacramento!Q10+'San Diego'!Q10+'San Jose'!Q10+'San Francisco'!Q10</f>
        <v>880597</v>
      </c>
      <c r="R10" s="88">
        <f>'Los Angeles'!R10+Ontario!R10+'Orange County'!R10+Oakland!R10+Sacramento!R10+'San Diego'!R10+'San Jose'!R10+'San Francisco'!R10</f>
        <v>83460</v>
      </c>
      <c r="S10" s="88">
        <f>'Los Angeles'!S10+Ontario!S10+'Orange County'!S10+Oakland!S10+Sacramento!S10+'San Diego'!S10+'San Jose'!S10+'San Francisco'!S10</f>
        <v>3842167</v>
      </c>
      <c r="T10" s="112">
        <f t="shared" si="4"/>
        <v>-1</v>
      </c>
      <c r="U10" s="112">
        <f t="shared" si="5"/>
        <v>-1</v>
      </c>
    </row>
    <row r="11" spans="1:59" ht="25" customHeight="1" x14ac:dyDescent="0.25">
      <c r="A11" s="49" t="s">
        <v>8</v>
      </c>
      <c r="B11" s="49"/>
      <c r="C11" s="80">
        <f>SUM(J11,Q11)</f>
        <v>12395668</v>
      </c>
      <c r="D11" s="80">
        <f>SUM(K11,R11)</f>
        <v>3198022</v>
      </c>
      <c r="E11" s="80">
        <f>SUM(L11,S11)</f>
        <v>21814825</v>
      </c>
      <c r="F11" s="111">
        <f t="shared" si="0"/>
        <v>-1</v>
      </c>
      <c r="G11" s="111">
        <f t="shared" si="1"/>
        <v>-1</v>
      </c>
      <c r="H11" s="90"/>
      <c r="I11" s="92"/>
      <c r="J11" s="92">
        <f>'Los Angeles'!J11+Burbank!J11+'Long Beach'!J11+Ontario!J11+'Orange County'!J11+Oakland!J11+Sacramento!J11+'San Diego'!J11+'San Jose'!J11+'San Francisco'!J11</f>
        <v>11237208</v>
      </c>
      <c r="K11" s="92">
        <f>'Los Angeles'!K11+Burbank!K11+'Long Beach'!K11+Ontario!K11+'Orange County'!K11+Oakland!K11+Sacramento!K11+'San Diego'!K11+'San Jose'!K11+'San Francisco'!K11</f>
        <v>3011044</v>
      </c>
      <c r="L11" s="92">
        <f>'Los Angeles'!L11+Burbank!L11+'Long Beach'!L11+Ontario!L11+'Orange County'!L11+Oakland!L11+Sacramento!L11+'San Diego'!L11+'San Jose'!L11+'San Francisco'!L11</f>
        <v>17633938</v>
      </c>
      <c r="M11" s="113">
        <f t="shared" si="2"/>
        <v>-1</v>
      </c>
      <c r="N11" s="113">
        <f t="shared" si="3"/>
        <v>-1</v>
      </c>
      <c r="O11" s="90"/>
      <c r="P11" s="89"/>
      <c r="Q11" s="89">
        <f>'Los Angeles'!Q11+Ontario!Q11+'Orange County'!Q11+Oakland!Q11+Sacramento!Q11+'San Diego'!Q11+'San Jose'!Q11+'San Francisco'!Q11</f>
        <v>1158460</v>
      </c>
      <c r="R11" s="89">
        <f>'Los Angeles'!R11+Ontario!R11+'Orange County'!R11+Oakland!R11+Sacramento!R11+'San Diego'!R11+'San Jose'!R11+'San Francisco'!R11</f>
        <v>186978</v>
      </c>
      <c r="S11" s="89">
        <f>'Los Angeles'!S11+Ontario!S11+'Orange County'!S11+Oakland!S11+Sacramento!S11+'San Diego'!S11+'San Jose'!S11+'San Francisco'!S11</f>
        <v>4180887</v>
      </c>
      <c r="T11" s="114">
        <f t="shared" si="4"/>
        <v>-1</v>
      </c>
      <c r="U11" s="114">
        <f t="shared" si="5"/>
        <v>-1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</row>
    <row r="12" spans="1:59" ht="25" customHeight="1" x14ac:dyDescent="0.25">
      <c r="A12" s="38" t="s">
        <v>9</v>
      </c>
      <c r="B12" s="38"/>
      <c r="C12" s="79">
        <f>SUM(J12,Q12)</f>
        <v>14295697</v>
      </c>
      <c r="D12" s="79">
        <f>SUM(K12,R12)</f>
        <v>4482725</v>
      </c>
      <c r="E12" s="79">
        <f>SUM(L12,S12)</f>
        <v>22755030</v>
      </c>
      <c r="F12" s="110">
        <f t="shared" si="0"/>
        <v>-1</v>
      </c>
      <c r="G12" s="110">
        <f t="shared" si="1"/>
        <v>-1</v>
      </c>
      <c r="H12" s="90"/>
      <c r="I12" s="88"/>
      <c r="J12" s="88">
        <f>'Los Angeles'!J12+Burbank!J12+'Long Beach'!J12+Ontario!J12+'Orange County'!J12+Oakland!J12+Sacramento!J12+'San Diego'!J12+'San Jose'!J12+'San Francisco'!J12</f>
        <v>12867639</v>
      </c>
      <c r="K12" s="88">
        <f>'Los Angeles'!K12+Burbank!K12+'Long Beach'!K12+Ontario!K12+'Orange County'!K12+Oakland!K12+Sacramento!K12+'San Diego'!K12+'San Jose'!K12+'San Francisco'!K12</f>
        <v>4172590</v>
      </c>
      <c r="L12" s="88">
        <f>'Los Angeles'!L12+Burbank!L12+'Long Beach'!L12+Ontario!L12+'Orange County'!L12+Oakland!L12+Sacramento!L12+'San Diego'!L12+'San Jose'!L12+'San Francisco'!L12</f>
        <v>18344723</v>
      </c>
      <c r="M12" s="112">
        <f t="shared" si="2"/>
        <v>-1</v>
      </c>
      <c r="N12" s="112">
        <f t="shared" si="3"/>
        <v>-1</v>
      </c>
      <c r="O12" s="90"/>
      <c r="P12" s="88"/>
      <c r="Q12" s="88">
        <f>'Los Angeles'!Q12+Ontario!Q12+'Orange County'!Q12+Oakland!Q12+Sacramento!Q12+'San Diego'!Q12+'San Jose'!Q12+'San Francisco'!Q12</f>
        <v>1428058</v>
      </c>
      <c r="R12" s="88">
        <f>'Los Angeles'!R12+Ontario!R12+'Orange County'!R12+Oakland!R12+Sacramento!R12+'San Diego'!R12+'San Jose'!R12+'San Francisco'!R12</f>
        <v>310135</v>
      </c>
      <c r="S12" s="88">
        <f>'Los Angeles'!S12+Ontario!S12+'Orange County'!S12+Oakland!S12+Sacramento!S12+'San Diego'!S12+'San Jose'!S12+'San Francisco'!S12</f>
        <v>4410307</v>
      </c>
      <c r="T12" s="112">
        <f t="shared" si="4"/>
        <v>-1</v>
      </c>
      <c r="U12" s="112">
        <f t="shared" si="5"/>
        <v>-1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</row>
    <row r="13" spans="1:59" ht="25" customHeight="1" x14ac:dyDescent="0.25">
      <c r="A13" s="49" t="s">
        <v>10</v>
      </c>
      <c r="B13" s="49"/>
      <c r="C13" s="80">
        <f>SUM(J13,Q13)</f>
        <v>13407150</v>
      </c>
      <c r="D13" s="80">
        <f>SUM(K13,R13)</f>
        <v>4855769</v>
      </c>
      <c r="E13" s="80">
        <f>SUM(L13,S13)</f>
        <v>22378689</v>
      </c>
      <c r="F13" s="111">
        <f t="shared" si="0"/>
        <v>-1</v>
      </c>
      <c r="G13" s="111">
        <f t="shared" si="1"/>
        <v>-1</v>
      </c>
      <c r="H13" s="90"/>
      <c r="I13" s="92"/>
      <c r="J13" s="92">
        <f>'Los Angeles'!J13+Burbank!J13+'Long Beach'!J13+Ontario!J13+'Orange County'!J13+Oakland!J13+Sacramento!J13+'San Diego'!J13+'San Jose'!J13+'San Francisco'!J13</f>
        <v>11973406</v>
      </c>
      <c r="K13" s="92">
        <f>'Los Angeles'!K13+Burbank!K13+'Long Beach'!K13+Ontario!K13+'Orange County'!K13+Oakland!K13+Sacramento!K13+'San Diego'!K13+'San Jose'!K13+'San Francisco'!K13</f>
        <v>4476438</v>
      </c>
      <c r="L13" s="92">
        <f>'Los Angeles'!L13+Burbank!L13+'Long Beach'!L13+Ontario!L13+'Orange County'!L13+Oakland!L13+Sacramento!L13+'San Diego'!L13+'San Jose'!L13+'San Francisco'!L13</f>
        <v>18126708</v>
      </c>
      <c r="M13" s="113">
        <f t="shared" si="2"/>
        <v>-1</v>
      </c>
      <c r="N13" s="113">
        <f t="shared" si="3"/>
        <v>-1</v>
      </c>
      <c r="O13" s="90"/>
      <c r="P13" s="89"/>
      <c r="Q13" s="89">
        <f>'Los Angeles'!Q13+Ontario!Q13+'Orange County'!Q13+Oakland!Q13+Sacramento!Q13+'San Diego'!Q13+'San Jose'!Q13+'San Francisco'!Q13</f>
        <v>1433744</v>
      </c>
      <c r="R13" s="89">
        <f>'Los Angeles'!R13+Ontario!R13+'Orange County'!R13+Oakland!R13+Sacramento!R13+'San Diego'!R13+'San Jose'!R13+'San Francisco'!R13</f>
        <v>379331</v>
      </c>
      <c r="S13" s="89">
        <f>'Los Angeles'!S13+Ontario!S13+'Orange County'!S13+Oakland!S13+Sacramento!S13+'San Diego'!S13+'San Jose'!S13+'San Francisco'!S13</f>
        <v>4251981</v>
      </c>
      <c r="T13" s="114">
        <f t="shared" si="4"/>
        <v>-1</v>
      </c>
      <c r="U13" s="114">
        <f t="shared" si="5"/>
        <v>-1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</row>
    <row r="14" spans="1:59" s="47" customFormat="1" ht="25" customHeight="1" x14ac:dyDescent="0.25">
      <c r="A14" s="43" t="s">
        <v>11</v>
      </c>
      <c r="B14" s="43"/>
      <c r="C14" s="79">
        <f>SUM(J14,Q14)</f>
        <v>12025771</v>
      </c>
      <c r="D14" s="79">
        <f>SUM(K14,R14)</f>
        <v>4929772</v>
      </c>
      <c r="E14" s="79">
        <f>SUM(L14,S14)</f>
        <v>19257968</v>
      </c>
      <c r="F14" s="110">
        <f t="shared" si="0"/>
        <v>-1</v>
      </c>
      <c r="G14" s="110">
        <f t="shared" si="1"/>
        <v>-1</v>
      </c>
      <c r="H14" s="90"/>
      <c r="I14" s="88"/>
      <c r="J14" s="88">
        <f>'Los Angeles'!J14+Burbank!J14+'Long Beach'!J14+Ontario!J14+'Orange County'!J14+Oakland!J14+Sacramento!J14+'San Diego'!J14+'San Jose'!J14+'San Francisco'!J14</f>
        <v>10857789</v>
      </c>
      <c r="K14" s="88">
        <f>'Los Angeles'!K14+Burbank!K14+'Long Beach'!K14+Ontario!K14+'Orange County'!K14+Oakland!K14+Sacramento!K14+'San Diego'!K14+'San Jose'!K14+'San Francisco'!K14</f>
        <v>4529101</v>
      </c>
      <c r="L14" s="88">
        <f>'Los Angeles'!L14+Burbank!L14+'Long Beach'!L14+Ontario!L14+'Orange County'!L14+Oakland!L14+Sacramento!L14+'San Diego'!L14+'San Jose'!L14+'San Francisco'!L14</f>
        <v>15609239</v>
      </c>
      <c r="M14" s="112">
        <f t="shared" si="2"/>
        <v>-1</v>
      </c>
      <c r="N14" s="112">
        <f t="shared" si="3"/>
        <v>-1</v>
      </c>
      <c r="O14" s="93"/>
      <c r="P14" s="88"/>
      <c r="Q14" s="88">
        <f>'Los Angeles'!Q14+Ontario!Q14+'Orange County'!Q14+Oakland!Q14+Sacramento!Q14+'San Diego'!Q14+'San Jose'!Q14+'San Francisco'!Q14</f>
        <v>1167982</v>
      </c>
      <c r="R14" s="88">
        <f>'Los Angeles'!R14+Ontario!R14+'Orange County'!R14+Oakland!R14+Sacramento!R14+'San Diego'!R14+'San Jose'!R14+'San Francisco'!R14</f>
        <v>400671</v>
      </c>
      <c r="S14" s="88">
        <f>'Los Angeles'!S14+Ontario!S14+'Orange County'!S14+Oakland!S14+Sacramento!S14+'San Diego'!S14+'San Jose'!S14+'San Francisco'!S14</f>
        <v>3648729</v>
      </c>
      <c r="T14" s="112">
        <f t="shared" si="4"/>
        <v>-1</v>
      </c>
      <c r="U14" s="112">
        <f t="shared" si="5"/>
        <v>-1</v>
      </c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</row>
    <row r="15" spans="1:59" ht="25" customHeight="1" x14ac:dyDescent="0.25">
      <c r="A15" s="49" t="s">
        <v>12</v>
      </c>
      <c r="B15" s="49"/>
      <c r="C15" s="80">
        <f>SUM(J15,Q15)</f>
        <v>13352132</v>
      </c>
      <c r="D15" s="80">
        <f>SUM(K15,R15)</f>
        <v>5708888</v>
      </c>
      <c r="E15" s="80">
        <f>SUM(L15,S15)</f>
        <v>20079531</v>
      </c>
      <c r="F15" s="111">
        <f t="shared" si="0"/>
        <v>-1</v>
      </c>
      <c r="G15" s="111">
        <f t="shared" si="1"/>
        <v>-1</v>
      </c>
      <c r="H15" s="40"/>
      <c r="I15" s="92"/>
      <c r="J15" s="92">
        <f>'Los Angeles'!J15+Burbank!J15+'Long Beach'!J15+Ontario!J15+'Orange County'!J15+Oakland!J15+Sacramento!J15+'San Diego'!J15+'San Jose'!J15+'San Francisco'!J15</f>
        <v>12116903</v>
      </c>
      <c r="K15" s="64">
        <f>'Los Angeles'!K15+Burbank!K15+'Long Beach'!K15+Ontario!K15+'Orange County'!K15+Oakland!K15+Sacramento!K15+'San Diego'!K15+'San Jose'!K15+'San Francisco'!K15</f>
        <v>5226134</v>
      </c>
      <c r="L15" s="64">
        <f>'Los Angeles'!L15+Burbank!L15+'Long Beach'!L15+Ontario!L15+'Orange County'!L15+Oakland!L15+Sacramento!L15+'San Diego'!L15+'San Jose'!L15+'San Francisco'!L15</f>
        <v>16475684</v>
      </c>
      <c r="M15" s="113">
        <f t="shared" si="2"/>
        <v>-1</v>
      </c>
      <c r="N15" s="113">
        <f t="shared" si="3"/>
        <v>-1</v>
      </c>
      <c r="O15" s="40"/>
      <c r="P15" s="89"/>
      <c r="Q15" s="89">
        <f>'Los Angeles'!Q15+Ontario!Q15+'Orange County'!Q15+Oakland!Q15+Sacramento!Q15+'San Diego'!Q15+'San Jose'!Q15+'San Francisco'!Q15</f>
        <v>1235229</v>
      </c>
      <c r="R15" s="65">
        <f>'Los Angeles'!R15+Ontario!R15+'Orange County'!R15+Oakland!R15+Sacramento!R15+'San Diego'!R15+'San Jose'!R15+'San Francisco'!R15</f>
        <v>482754</v>
      </c>
      <c r="S15" s="65">
        <f>'Los Angeles'!S15+Ontario!S15+'Orange County'!S15+Oakland!S15+Sacramento!S15+'San Diego'!S15+'San Jose'!S15+'San Francisco'!S15</f>
        <v>3603847</v>
      </c>
      <c r="T15" s="114">
        <f t="shared" si="4"/>
        <v>-1</v>
      </c>
      <c r="U15" s="114">
        <f t="shared" si="5"/>
        <v>-1</v>
      </c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</row>
    <row r="16" spans="1:59" ht="25" customHeight="1" x14ac:dyDescent="0.25">
      <c r="A16" s="41" t="s">
        <v>13</v>
      </c>
      <c r="B16" s="41"/>
      <c r="C16" s="79">
        <f>SUM(J16,Q16)</f>
        <v>13419904</v>
      </c>
      <c r="D16" s="79">
        <f>SUM(K16,R16)</f>
        <v>5555678</v>
      </c>
      <c r="E16" s="79">
        <f>SUM(L16,S16)</f>
        <v>18697443</v>
      </c>
      <c r="F16" s="110">
        <f t="shared" si="0"/>
        <v>-1</v>
      </c>
      <c r="G16" s="110">
        <f t="shared" si="1"/>
        <v>-1</v>
      </c>
      <c r="H16" s="40"/>
      <c r="I16" s="88"/>
      <c r="J16" s="88">
        <f>'Los Angeles'!J16+Burbank!J16+'Long Beach'!J16+Ontario!J16+'Orange County'!J16+Oakland!J16+Sacramento!J16+'San Diego'!J16+'San Jose'!J16+'San Francisco'!J16</f>
        <v>11990391</v>
      </c>
      <c r="K16" s="63">
        <f>'Los Angeles'!K16+Burbank!K16+'Long Beach'!K16+Ontario!K16+'Orange County'!K16+Oakland!K16+Sacramento!K16+'San Diego'!K16+'San Jose'!K16+'San Francisco'!K16</f>
        <v>5013762</v>
      </c>
      <c r="L16" s="63">
        <f>'Los Angeles'!L16+Burbank!L16+'Long Beach'!L16+Ontario!L16+'Orange County'!L16+Oakland!L16+Sacramento!L16+'San Diego'!L16+'San Jose'!L16+'San Francisco'!L16</f>
        <v>15425279</v>
      </c>
      <c r="M16" s="112">
        <f t="shared" si="2"/>
        <v>-1</v>
      </c>
      <c r="N16" s="112">
        <f t="shared" si="3"/>
        <v>-1</v>
      </c>
      <c r="O16" s="40"/>
      <c r="P16" s="88"/>
      <c r="Q16" s="88">
        <f>'Los Angeles'!Q16+Ontario!Q16+'Orange County'!Q16+Oakland!Q16+Sacramento!Q16+'San Diego'!Q16+'San Jose'!Q16+'San Francisco'!Q16</f>
        <v>1429513</v>
      </c>
      <c r="R16" s="63">
        <f>'Los Angeles'!R16+Ontario!R16+'Orange County'!R16+Oakland!R16+Sacramento!R16+'San Diego'!R16+'San Jose'!R16+'San Francisco'!R16</f>
        <v>541916</v>
      </c>
      <c r="S16" s="63">
        <f>'Los Angeles'!S16+Ontario!S16+'Orange County'!S16+Oakland!S16+Sacramento!S16+'San Diego'!S16+'San Jose'!S16+'San Francisco'!S16</f>
        <v>3272164</v>
      </c>
      <c r="T16" s="112">
        <f t="shared" si="4"/>
        <v>-1</v>
      </c>
      <c r="U16" s="112">
        <f t="shared" si="5"/>
        <v>-1</v>
      </c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</row>
    <row r="17" spans="1:59" ht="25" customHeight="1" x14ac:dyDescent="0.25">
      <c r="A17" s="49" t="s">
        <v>14</v>
      </c>
      <c r="B17" s="49"/>
      <c r="C17" s="80">
        <f>SUM(J17,Q17)</f>
        <v>13289438</v>
      </c>
      <c r="D17" s="80">
        <f>SUM(K17,R17)</f>
        <v>5058307</v>
      </c>
      <c r="E17" s="80">
        <f>SUM(L17,S17)</f>
        <v>20283913</v>
      </c>
      <c r="F17" s="111">
        <f t="shared" si="0"/>
        <v>-1</v>
      </c>
      <c r="G17" s="111">
        <f t="shared" si="1"/>
        <v>-1</v>
      </c>
      <c r="H17" s="40"/>
      <c r="I17" s="92"/>
      <c r="J17" s="92">
        <f>'Los Angeles'!J17+Burbank!J17+'Long Beach'!J17+Ontario!J17+'Orange County'!J17+Oakland!J17+Sacramento!J17+'San Diego'!J17+'San Jose'!J17+'San Francisco'!J17</f>
        <v>11552997</v>
      </c>
      <c r="K17" s="64">
        <f>'Los Angeles'!K17+Burbank!K17+'Long Beach'!K17+Ontario!K17+'Orange County'!K17+Oakland!K17+Sacramento!K17+'San Diego'!K17+'San Jose'!K17+'San Francisco'!K17</f>
        <v>4454177</v>
      </c>
      <c r="L17" s="64">
        <f>'Los Angeles'!L17+Burbank!L17+'Long Beach'!L17+Ontario!L17+'Orange County'!L17+Oakland!L17+Sacramento!L17+'San Diego'!L17+'San Jose'!L17+'San Francisco'!L17</f>
        <v>16590213</v>
      </c>
      <c r="M17" s="113">
        <f t="shared" si="2"/>
        <v>-1</v>
      </c>
      <c r="N17" s="113">
        <f t="shared" si="3"/>
        <v>-1</v>
      </c>
      <c r="O17" s="40"/>
      <c r="P17" s="89"/>
      <c r="Q17" s="89">
        <f>'Los Angeles'!Q17+Ontario!Q17+'Orange County'!Q17+Oakland!Q17+Sacramento!Q17+'San Diego'!Q17+'San Jose'!Q17+'San Francisco'!Q17</f>
        <v>1736441</v>
      </c>
      <c r="R17" s="65">
        <f>'Los Angeles'!R17+Ontario!R17+'Orange County'!R17+Oakland!R17+Sacramento!R17+'San Diego'!R17+'San Jose'!R17+'San Francisco'!R17</f>
        <v>604130</v>
      </c>
      <c r="S17" s="65">
        <f>'Los Angeles'!S17+Ontario!S17+'Orange County'!S17+Oakland!S17+Sacramento!S17+'San Diego'!S17+'San Jose'!S17+'San Francisco'!S17</f>
        <v>3693700</v>
      </c>
      <c r="T17" s="114">
        <f t="shared" si="4"/>
        <v>-1</v>
      </c>
      <c r="U17" s="114">
        <f t="shared" si="5"/>
        <v>-1</v>
      </c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</row>
    <row r="18" spans="1:59" ht="25" customHeight="1" x14ac:dyDescent="0.25">
      <c r="A18" s="38" t="s">
        <v>51</v>
      </c>
      <c r="B18" s="81">
        <f>SUM(B6:B7)</f>
        <v>21857847</v>
      </c>
      <c r="C18" s="81">
        <f>SUM(C6:C7)</f>
        <v>8515463</v>
      </c>
      <c r="D18" s="81">
        <f t="shared" ref="D18:E18" si="6">SUM(D6:D7)</f>
        <v>34077440</v>
      </c>
      <c r="E18" s="81">
        <f t="shared" si="6"/>
        <v>33558207</v>
      </c>
      <c r="F18" s="110">
        <f t="shared" si="0"/>
        <v>1.5668418734248508</v>
      </c>
      <c r="G18" s="110">
        <f t="shared" si="1"/>
        <v>-0.348658675357715</v>
      </c>
      <c r="H18" s="40"/>
      <c r="I18" s="81">
        <f>SUM(I6:I7)</f>
        <v>19228939</v>
      </c>
      <c r="J18" s="81">
        <f>SUM(J6:J7)</f>
        <v>7596188</v>
      </c>
      <c r="K18" s="81">
        <f t="shared" ref="K18:L18" si="7">SUM(K6:K7)</f>
        <v>27918208</v>
      </c>
      <c r="L18" s="81">
        <f t="shared" si="7"/>
        <v>27115222</v>
      </c>
      <c r="M18" s="110">
        <f>I18/J18-1</f>
        <v>1.5313932461913793</v>
      </c>
      <c r="N18" s="110">
        <f>I18/L18-1</f>
        <v>-0.29084338678842458</v>
      </c>
      <c r="O18" s="40"/>
      <c r="P18" s="81">
        <f>SUM(P6:P7)</f>
        <v>2628908</v>
      </c>
      <c r="Q18" s="81">
        <f>SUM(Q6:Q7)</f>
        <v>919275</v>
      </c>
      <c r="R18" s="81">
        <f t="shared" ref="R18:S18" si="8">SUM(R6:R7)</f>
        <v>6159232</v>
      </c>
      <c r="S18" s="81">
        <f t="shared" si="8"/>
        <v>6442985</v>
      </c>
      <c r="T18" s="110">
        <f>P18/Q18-1</f>
        <v>1.8597623126920673</v>
      </c>
      <c r="U18" s="110">
        <f t="shared" si="5"/>
        <v>-0.59197359608939026</v>
      </c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</row>
    <row r="19" spans="1:59" x14ac:dyDescent="0.25">
      <c r="A19" s="37"/>
      <c r="B19" s="37"/>
      <c r="C19" s="82"/>
      <c r="D19" s="82" t="s">
        <v>48</v>
      </c>
      <c r="H19" s="40"/>
      <c r="I19" s="40"/>
      <c r="J19" s="40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</row>
    <row r="20" spans="1:59" x14ac:dyDescent="0.25">
      <c r="A20" s="33" t="s">
        <v>46</v>
      </c>
      <c r="L20" s="39"/>
      <c r="M20" s="85"/>
      <c r="R20" s="39"/>
      <c r="S20" s="39"/>
      <c r="T20" s="39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</row>
    <row r="21" spans="1:59" x14ac:dyDescent="0.25">
      <c r="A21" s="33" t="s">
        <v>49</v>
      </c>
      <c r="R21" s="39"/>
      <c r="S21" s="48"/>
      <c r="T21" s="48"/>
    </row>
    <row r="23" spans="1:59" x14ac:dyDescent="0.25">
      <c r="D23" s="84"/>
      <c r="E23" s="84"/>
      <c r="F23" s="84"/>
      <c r="G23" s="84"/>
    </row>
    <row r="26" spans="1:59" x14ac:dyDescent="0.25">
      <c r="D26" s="85"/>
    </row>
  </sheetData>
  <mergeCells count="4">
    <mergeCell ref="A1:U1"/>
    <mergeCell ref="B3:G3"/>
    <mergeCell ref="I3:N3"/>
    <mergeCell ref="P3:U3"/>
  </mergeCells>
  <phoneticPr fontId="17" type="noConversion"/>
  <pageMargins left="0.25" right="0.25" top="0.75" bottom="0.75" header="0.3" footer="0.3"/>
  <pageSetup scale="71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39997558519241921"/>
    <pageSetUpPr fitToPage="1"/>
  </sheetPr>
  <dimension ref="A1:AS23"/>
  <sheetViews>
    <sheetView zoomScaleNormal="100" zoomScaleSheetLayoutView="93" workbookViewId="0">
      <selection activeCell="P6" sqref="P6:P7"/>
    </sheetView>
  </sheetViews>
  <sheetFormatPr baseColWidth="10" defaultColWidth="8.83203125" defaultRowHeight="19" x14ac:dyDescent="0.25"/>
  <cols>
    <col min="1" max="21" width="13.83203125" style="33" customWidth="1"/>
  </cols>
  <sheetData>
    <row r="1" spans="1:45" ht="34" customHeight="1" x14ac:dyDescent="0.2">
      <c r="A1" s="97" t="s">
        <v>22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66"/>
      <c r="V1" s="47"/>
      <c r="W1" s="47"/>
      <c r="X1" s="47"/>
      <c r="Y1" s="47"/>
      <c r="Z1" s="47"/>
      <c r="AA1" s="47"/>
    </row>
    <row r="2" spans="1:45" ht="15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s="47"/>
      <c r="W2" s="47"/>
      <c r="X2" s="47"/>
      <c r="Y2" s="47"/>
      <c r="Z2" s="47"/>
      <c r="AA2" s="47"/>
    </row>
    <row r="3" spans="1:45" x14ac:dyDescent="0.25">
      <c r="A3" s="34"/>
      <c r="B3" s="100" t="s">
        <v>47</v>
      </c>
      <c r="C3" s="100"/>
      <c r="D3" s="100"/>
      <c r="E3" s="100"/>
      <c r="F3" s="100"/>
      <c r="G3" s="101"/>
      <c r="H3" s="53"/>
      <c r="I3" s="104" t="s">
        <v>15</v>
      </c>
      <c r="J3" s="104"/>
      <c r="K3" s="104"/>
      <c r="L3" s="104"/>
      <c r="M3" s="104"/>
      <c r="N3" s="105"/>
      <c r="O3" s="73"/>
      <c r="P3" s="102" t="s">
        <v>16</v>
      </c>
      <c r="Q3" s="102"/>
      <c r="R3" s="102"/>
      <c r="S3" s="102"/>
      <c r="T3" s="102"/>
      <c r="U3" s="103"/>
    </row>
    <row r="4" spans="1:45" ht="40" x14ac:dyDescent="0.25">
      <c r="A4" s="35"/>
      <c r="B4" s="75">
        <v>2022</v>
      </c>
      <c r="C4" s="75">
        <v>2021</v>
      </c>
      <c r="D4" s="75">
        <v>2020</v>
      </c>
      <c r="E4" s="75">
        <v>2019</v>
      </c>
      <c r="F4" s="76" t="s">
        <v>56</v>
      </c>
      <c r="G4" s="76" t="s">
        <v>54</v>
      </c>
      <c r="H4" s="37"/>
      <c r="I4" s="69">
        <v>2022</v>
      </c>
      <c r="J4" s="69">
        <v>2021</v>
      </c>
      <c r="K4" s="69">
        <v>2020</v>
      </c>
      <c r="L4" s="69">
        <v>2019</v>
      </c>
      <c r="M4" s="76" t="s">
        <v>56</v>
      </c>
      <c r="N4" s="76" t="s">
        <v>54</v>
      </c>
      <c r="O4" s="67"/>
      <c r="P4" s="69">
        <v>2022</v>
      </c>
      <c r="Q4" s="69">
        <v>2021</v>
      </c>
      <c r="R4" s="69">
        <v>2020</v>
      </c>
      <c r="S4" s="69">
        <v>2019</v>
      </c>
      <c r="T4" s="76" t="s">
        <v>56</v>
      </c>
      <c r="U4" s="76" t="s">
        <v>54</v>
      </c>
    </row>
    <row r="5" spans="1:45" x14ac:dyDescent="0.25">
      <c r="A5" s="49"/>
      <c r="B5" s="49"/>
      <c r="C5" s="77"/>
      <c r="D5" s="78"/>
      <c r="E5" s="78"/>
      <c r="F5" s="78"/>
      <c r="G5" s="78"/>
      <c r="H5" s="37"/>
      <c r="I5" s="54"/>
      <c r="J5" s="54"/>
      <c r="K5" s="54"/>
      <c r="L5" s="55"/>
      <c r="M5" s="54"/>
      <c r="N5" s="54"/>
      <c r="O5" s="37"/>
      <c r="P5" s="50"/>
      <c r="Q5" s="50"/>
      <c r="R5" s="50"/>
      <c r="S5" s="51"/>
      <c r="T5" s="50"/>
      <c r="U5" s="50"/>
    </row>
    <row r="6" spans="1:45" x14ac:dyDescent="0.25">
      <c r="A6" s="38" t="s">
        <v>3</v>
      </c>
      <c r="B6" s="79">
        <v>557678</v>
      </c>
      <c r="C6" s="79">
        <f>SUM(J6,Q6)</f>
        <v>208423</v>
      </c>
      <c r="D6" s="79">
        <f>SUM(K6,R6)</f>
        <v>1179211</v>
      </c>
      <c r="E6" s="79">
        <f>SUM(L6,S6)</f>
        <v>1083500</v>
      </c>
      <c r="F6" s="110">
        <f>B6/C6-1</f>
        <v>1.6757027775245534</v>
      </c>
      <c r="G6" s="110">
        <f>B6/E6-1</f>
        <v>-0.48529949238578685</v>
      </c>
      <c r="H6" s="40"/>
      <c r="I6" s="63">
        <f>225980+241738+22904+22904</f>
        <v>513526</v>
      </c>
      <c r="J6" s="63">
        <f>79908+84587+8001+8001</f>
        <v>180497</v>
      </c>
      <c r="K6" s="63">
        <f>497019+519233+41542+41542</f>
        <v>1099336</v>
      </c>
      <c r="L6" s="63">
        <f>461226+488201+31731+31731</f>
        <v>1012889</v>
      </c>
      <c r="M6" s="112">
        <f>I6/J6-1</f>
        <v>1.8450666770084823</v>
      </c>
      <c r="N6" s="112">
        <f>I6/L6-1</f>
        <v>-0.49300861199993284</v>
      </c>
      <c r="O6" s="37"/>
      <c r="P6" s="63">
        <f>B6-I6</f>
        <v>44152</v>
      </c>
      <c r="Q6" s="63">
        <f>10279+17647</f>
        <v>27926</v>
      </c>
      <c r="R6" s="63">
        <f>37096+42779</f>
        <v>79875</v>
      </c>
      <c r="S6" s="63">
        <f>32130+38373+54+54</f>
        <v>70611</v>
      </c>
      <c r="T6" s="112">
        <f>P6/Q6-1</f>
        <v>0.58103559407004224</v>
      </c>
      <c r="U6" s="112">
        <f>P6/S6-1</f>
        <v>-0.37471498774978407</v>
      </c>
    </row>
    <row r="7" spans="1:45" x14ac:dyDescent="0.25">
      <c r="A7" s="49" t="s">
        <v>4</v>
      </c>
      <c r="B7" s="80">
        <v>613361</v>
      </c>
      <c r="C7" s="80">
        <f>SUM(J7,Q7)</f>
        <v>217278</v>
      </c>
      <c r="D7" s="80">
        <f>SUM(K7,R7)</f>
        <v>1084289</v>
      </c>
      <c r="E7" s="80">
        <f>SUM(L7,S7)</f>
        <v>1023762</v>
      </c>
      <c r="F7" s="111">
        <f t="shared" ref="F7:F17" si="0">B7/C7-1</f>
        <v>1.8229319121125931</v>
      </c>
      <c r="G7" s="111">
        <f t="shared" ref="G7:G18" si="1">B7/E7-1</f>
        <v>-0.40087539877432454</v>
      </c>
      <c r="H7" s="40"/>
      <c r="I7" s="64">
        <f>264236+260697+27254+27254</f>
        <v>579441</v>
      </c>
      <c r="J7" s="64">
        <f>94509+93254+8202+8202</f>
        <v>204167</v>
      </c>
      <c r="K7" s="64">
        <f>474217+470968+41056+41056</f>
        <v>1027297</v>
      </c>
      <c r="L7" s="64">
        <f>451589+451879+31709+31709</f>
        <v>966886</v>
      </c>
      <c r="M7" s="113">
        <f t="shared" ref="M7:M18" si="2">I7/J7-1</f>
        <v>1.8380737337571693</v>
      </c>
      <c r="N7" s="113">
        <f t="shared" ref="N7:N18" si="3">I7/L7-1</f>
        <v>-0.40071425173184838</v>
      </c>
      <c r="O7" s="40"/>
      <c r="P7" s="65">
        <f>B7-I7</f>
        <v>33920</v>
      </c>
      <c r="Q7" s="65">
        <f>5212+7899</f>
        <v>13111</v>
      </c>
      <c r="R7" s="65">
        <f>26796+30196</f>
        <v>56992</v>
      </c>
      <c r="S7" s="65">
        <f>27736+29102+19+19</f>
        <v>56876</v>
      </c>
      <c r="T7" s="114">
        <f t="shared" ref="T7:T18" si="4">P7/Q7-1</f>
        <v>1.5871405689878726</v>
      </c>
      <c r="U7" s="114">
        <f t="shared" ref="U7:U18" si="5">P7/S7-1</f>
        <v>-0.40361488149658908</v>
      </c>
    </row>
    <row r="8" spans="1:45" x14ac:dyDescent="0.25">
      <c r="A8" s="41" t="s">
        <v>5</v>
      </c>
      <c r="B8" s="41"/>
      <c r="C8" s="79">
        <f>J8+Q8</f>
        <v>224218</v>
      </c>
      <c r="D8" s="79">
        <f t="shared" ref="D8:D13" si="6">K8+R8</f>
        <v>508110</v>
      </c>
      <c r="E8" s="79">
        <f t="shared" ref="E8:E17" si="7">SUM(L8,S8)</f>
        <v>1226670</v>
      </c>
      <c r="F8" s="110">
        <f t="shared" si="0"/>
        <v>-1</v>
      </c>
      <c r="G8" s="110">
        <f t="shared" si="1"/>
        <v>-1</v>
      </c>
      <c r="H8" s="40"/>
      <c r="I8" s="63"/>
      <c r="J8" s="63">
        <f>156854+15033+21608+21608</f>
        <v>215103</v>
      </c>
      <c r="K8" s="63">
        <f>203405+213071+28205+28205</f>
        <v>472886</v>
      </c>
      <c r="L8" s="63">
        <f>544233+538518+41982+41982</f>
        <v>1166715</v>
      </c>
      <c r="M8" s="112">
        <f t="shared" si="2"/>
        <v>-1</v>
      </c>
      <c r="N8" s="112">
        <f t="shared" si="3"/>
        <v>-1</v>
      </c>
      <c r="O8" s="40"/>
      <c r="P8" s="63"/>
      <c r="Q8" s="63">
        <f>4348+4767</f>
        <v>9115</v>
      </c>
      <c r="R8" s="63">
        <f>15732+19466+13+13</f>
        <v>35224</v>
      </c>
      <c r="S8" s="63">
        <f>29350+30253+176+176</f>
        <v>59955</v>
      </c>
      <c r="T8" s="112">
        <f t="shared" si="4"/>
        <v>-1</v>
      </c>
      <c r="U8" s="112">
        <f t="shared" si="5"/>
        <v>-1</v>
      </c>
    </row>
    <row r="9" spans="1:45" x14ac:dyDescent="0.25">
      <c r="A9" s="49" t="s">
        <v>6</v>
      </c>
      <c r="B9" s="49"/>
      <c r="C9" s="80">
        <f t="shared" ref="C9:C12" si="8">J9+Q9</f>
        <v>465552</v>
      </c>
      <c r="D9" s="80">
        <f t="shared" si="6"/>
        <v>37556</v>
      </c>
      <c r="E9" s="80">
        <f t="shared" si="7"/>
        <v>1298177</v>
      </c>
      <c r="F9" s="111">
        <f t="shared" si="0"/>
        <v>-1</v>
      </c>
      <c r="G9" s="111">
        <f t="shared" si="1"/>
        <v>-1</v>
      </c>
      <c r="H9" s="40"/>
      <c r="I9" s="64"/>
      <c r="J9" s="64">
        <f>206426+205878+16085+16085</f>
        <v>444474</v>
      </c>
      <c r="K9" s="64">
        <f>16178+16147+1408+1408</f>
        <v>35141</v>
      </c>
      <c r="L9" s="64">
        <f>566876+577106+40722+40722</f>
        <v>1225426</v>
      </c>
      <c r="M9" s="113">
        <f t="shared" si="2"/>
        <v>-1</v>
      </c>
      <c r="N9" s="113">
        <f t="shared" si="3"/>
        <v>-1</v>
      </c>
      <c r="O9" s="40"/>
      <c r="P9" s="65"/>
      <c r="Q9" s="65">
        <f>10368+10710</f>
        <v>21078</v>
      </c>
      <c r="R9" s="65">
        <f>1046+1369</f>
        <v>2415</v>
      </c>
      <c r="S9" s="65">
        <f>37032+35461+129+129</f>
        <v>72751</v>
      </c>
      <c r="T9" s="114">
        <f t="shared" si="4"/>
        <v>-1</v>
      </c>
      <c r="U9" s="114">
        <f t="shared" si="5"/>
        <v>-1</v>
      </c>
    </row>
    <row r="10" spans="1:45" x14ac:dyDescent="0.25">
      <c r="A10" s="38" t="s">
        <v>7</v>
      </c>
      <c r="B10" s="38"/>
      <c r="C10" s="79">
        <f t="shared" si="8"/>
        <v>589554</v>
      </c>
      <c r="D10" s="79">
        <f t="shared" si="6"/>
        <v>79600</v>
      </c>
      <c r="E10" s="79">
        <f t="shared" si="7"/>
        <v>1360317</v>
      </c>
      <c r="F10" s="110">
        <f t="shared" si="0"/>
        <v>-1</v>
      </c>
      <c r="G10" s="110">
        <f t="shared" si="1"/>
        <v>-1</v>
      </c>
      <c r="H10" s="40"/>
      <c r="I10" s="63"/>
      <c r="J10" s="63">
        <f>259654+257831+17775+17775</f>
        <v>553035</v>
      </c>
      <c r="K10" s="63">
        <f>37490+37688+2211+2211</f>
        <v>79600</v>
      </c>
      <c r="L10" s="63">
        <f>595164+600267+45194+45194</f>
        <v>1285819</v>
      </c>
      <c r="M10" s="112">
        <f t="shared" si="2"/>
        <v>-1</v>
      </c>
      <c r="N10" s="112">
        <f t="shared" si="3"/>
        <v>-1</v>
      </c>
      <c r="O10" s="40"/>
      <c r="P10" s="63"/>
      <c r="Q10" s="63">
        <f>17981+18538</f>
        <v>36519</v>
      </c>
      <c r="R10" s="63">
        <v>0</v>
      </c>
      <c r="S10" s="63">
        <f>37350+36694+227+227</f>
        <v>74498</v>
      </c>
      <c r="T10" s="112">
        <f t="shared" si="4"/>
        <v>-1</v>
      </c>
      <c r="U10" s="112">
        <f t="shared" si="5"/>
        <v>-1</v>
      </c>
    </row>
    <row r="11" spans="1:45" x14ac:dyDescent="0.25">
      <c r="A11" s="49" t="s">
        <v>8</v>
      </c>
      <c r="B11" s="49"/>
      <c r="C11" s="80">
        <f>J11+Q11</f>
        <v>756135</v>
      </c>
      <c r="D11" s="80">
        <f t="shared" si="6"/>
        <v>193032</v>
      </c>
      <c r="E11" s="80">
        <f t="shared" si="7"/>
        <v>1411057</v>
      </c>
      <c r="F11" s="111">
        <f t="shared" si="0"/>
        <v>-1</v>
      </c>
      <c r="G11" s="111">
        <f t="shared" si="1"/>
        <v>-1</v>
      </c>
      <c r="H11" s="40"/>
      <c r="I11" s="64"/>
      <c r="J11" s="64">
        <f>339961+326816+23002+23002</f>
        <v>712781</v>
      </c>
      <c r="K11" s="64">
        <f>86538+83179+10058+10058</f>
        <v>189833</v>
      </c>
      <c r="L11" s="64">
        <f>625967+607876+47056+47056</f>
        <v>1327955</v>
      </c>
      <c r="M11" s="113">
        <f t="shared" si="2"/>
        <v>-1</v>
      </c>
      <c r="N11" s="113">
        <f t="shared" si="3"/>
        <v>-1</v>
      </c>
      <c r="O11" s="40"/>
      <c r="P11" s="65"/>
      <c r="Q11" s="65">
        <f>21603+21751</f>
        <v>43354</v>
      </c>
      <c r="R11" s="65">
        <f>1726+1473</f>
        <v>3199</v>
      </c>
      <c r="S11" s="65">
        <f>44404+38560+69+69</f>
        <v>83102</v>
      </c>
      <c r="T11" s="114">
        <f t="shared" si="4"/>
        <v>-1</v>
      </c>
      <c r="U11" s="114">
        <f t="shared" si="5"/>
        <v>-1</v>
      </c>
    </row>
    <row r="12" spans="1:45" x14ac:dyDescent="0.25">
      <c r="A12" s="38" t="s">
        <v>9</v>
      </c>
      <c r="B12" s="38"/>
      <c r="C12" s="79">
        <f t="shared" si="8"/>
        <v>818268</v>
      </c>
      <c r="D12" s="79">
        <f t="shared" si="6"/>
        <v>268369</v>
      </c>
      <c r="E12" s="79">
        <f t="shared" si="7"/>
        <v>1489363</v>
      </c>
      <c r="F12" s="110">
        <f t="shared" si="0"/>
        <v>-1</v>
      </c>
      <c r="G12" s="110">
        <f t="shared" si="1"/>
        <v>-1</v>
      </c>
      <c r="H12" s="40"/>
      <c r="I12" s="63"/>
      <c r="J12" s="63">
        <f>365497+362577+23385+23385</f>
        <v>774844</v>
      </c>
      <c r="K12" s="63">
        <f>111353+109231+16537+16537</f>
        <v>253658</v>
      </c>
      <c r="L12" s="63">
        <f>671244+678564+52465+3919</f>
        <v>1406192</v>
      </c>
      <c r="M12" s="112">
        <f t="shared" si="2"/>
        <v>-1</v>
      </c>
      <c r="N12" s="112">
        <f t="shared" si="3"/>
        <v>-1</v>
      </c>
      <c r="O12" s="40"/>
      <c r="P12" s="63"/>
      <c r="Q12" s="63">
        <f>20756+22668</f>
        <v>43424</v>
      </c>
      <c r="R12" s="63">
        <f>7476+7235</f>
        <v>14711</v>
      </c>
      <c r="S12" s="63">
        <f>39700+43471</f>
        <v>83171</v>
      </c>
      <c r="T12" s="112">
        <f t="shared" si="4"/>
        <v>-1</v>
      </c>
      <c r="U12" s="112">
        <f t="shared" si="5"/>
        <v>-1</v>
      </c>
    </row>
    <row r="13" spans="1:45" x14ac:dyDescent="0.25">
      <c r="A13" s="49" t="s">
        <v>10</v>
      </c>
      <c r="B13" s="49"/>
      <c r="C13" s="80">
        <f>J13+Q13</f>
        <v>756358</v>
      </c>
      <c r="D13" s="80">
        <f t="shared" si="6"/>
        <v>264855</v>
      </c>
      <c r="E13" s="80">
        <f t="shared" si="7"/>
        <v>1461045</v>
      </c>
      <c r="F13" s="111">
        <f t="shared" si="0"/>
        <v>-1</v>
      </c>
      <c r="G13" s="111">
        <f t="shared" si="1"/>
        <v>-1</v>
      </c>
      <c r="H13" s="40"/>
      <c r="I13" s="64"/>
      <c r="J13" s="64">
        <f>332014+346255+21834+21834</f>
        <v>721937</v>
      </c>
      <c r="K13" s="64">
        <f>112191+110278+10295+10295</f>
        <v>243059</v>
      </c>
      <c r="L13" s="64">
        <f>671414+660863+47006+3701</f>
        <v>1382984</v>
      </c>
      <c r="M13" s="113">
        <f t="shared" si="2"/>
        <v>-1</v>
      </c>
      <c r="N13" s="113">
        <f t="shared" si="3"/>
        <v>-1</v>
      </c>
      <c r="O13" s="40"/>
      <c r="P13" s="65"/>
      <c r="Q13" s="65">
        <f>14584+19837</f>
        <v>34421</v>
      </c>
      <c r="R13" s="65">
        <f>9326+12470</f>
        <v>21796</v>
      </c>
      <c r="S13" s="65">
        <f>36642+41419</f>
        <v>78061</v>
      </c>
      <c r="T13" s="114">
        <f t="shared" si="4"/>
        <v>-1</v>
      </c>
      <c r="U13" s="114">
        <f t="shared" si="5"/>
        <v>-1</v>
      </c>
    </row>
    <row r="14" spans="1:45" s="47" customFormat="1" x14ac:dyDescent="0.25">
      <c r="A14" s="43" t="s">
        <v>11</v>
      </c>
      <c r="B14" s="43"/>
      <c r="C14" s="79">
        <f>J14+Q14</f>
        <v>722964</v>
      </c>
      <c r="D14" s="79">
        <v>262876</v>
      </c>
      <c r="E14" s="79">
        <f t="shared" si="7"/>
        <v>1358465</v>
      </c>
      <c r="F14" s="110">
        <f t="shared" si="0"/>
        <v>-1</v>
      </c>
      <c r="G14" s="110">
        <f t="shared" si="1"/>
        <v>-1</v>
      </c>
      <c r="H14" s="40"/>
      <c r="I14" s="63"/>
      <c r="J14" s="63">
        <f>327167+323388+22373+22373</f>
        <v>695301</v>
      </c>
      <c r="K14" s="63">
        <f>D14-R14</f>
        <v>244454</v>
      </c>
      <c r="L14" s="63">
        <f>596078+602228+47338+47338</f>
        <v>1292982</v>
      </c>
      <c r="M14" s="112">
        <f t="shared" si="2"/>
        <v>-1</v>
      </c>
      <c r="N14" s="112">
        <f t="shared" si="3"/>
        <v>-1</v>
      </c>
      <c r="O14" s="46"/>
      <c r="P14" s="63"/>
      <c r="Q14" s="63">
        <f>13547+14116</f>
        <v>27663</v>
      </c>
      <c r="R14" s="63">
        <f>9431+8991</f>
        <v>18422</v>
      </c>
      <c r="S14" s="63">
        <f>32149+33334</f>
        <v>65483</v>
      </c>
      <c r="T14" s="112">
        <f>P14/Q14-1</f>
        <v>-1</v>
      </c>
      <c r="U14" s="112">
        <f t="shared" si="5"/>
        <v>-1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s="6" customFormat="1" x14ac:dyDescent="0.25">
      <c r="A15" s="49" t="s">
        <v>12</v>
      </c>
      <c r="B15" s="49"/>
      <c r="C15" s="80">
        <f>J15+Q15</f>
        <v>821191</v>
      </c>
      <c r="D15" s="80">
        <v>287552</v>
      </c>
      <c r="E15" s="80">
        <f t="shared" si="7"/>
        <v>1379881</v>
      </c>
      <c r="F15" s="111">
        <f t="shared" si="0"/>
        <v>-1</v>
      </c>
      <c r="G15" s="111">
        <f t="shared" si="1"/>
        <v>-1</v>
      </c>
      <c r="H15" s="40"/>
      <c r="I15" s="64"/>
      <c r="J15" s="64">
        <f>365300+366113+26767+26767</f>
        <v>784947</v>
      </c>
      <c r="K15" s="64">
        <f>D15-R15</f>
        <v>268322</v>
      </c>
      <c r="L15" s="64">
        <f>614123+603590+46779+46779</f>
        <v>1311271</v>
      </c>
      <c r="M15" s="113">
        <f t="shared" si="2"/>
        <v>-1</v>
      </c>
      <c r="N15" s="113">
        <f t="shared" si="3"/>
        <v>-1</v>
      </c>
      <c r="O15" s="40"/>
      <c r="P15" s="65"/>
      <c r="Q15" s="65">
        <f>18475+17769</f>
        <v>36244</v>
      </c>
      <c r="R15" s="65">
        <f>9707+9523</f>
        <v>19230</v>
      </c>
      <c r="S15" s="65">
        <f>35245+33093+136+136</f>
        <v>68610</v>
      </c>
      <c r="T15" s="114">
        <f t="shared" si="4"/>
        <v>-1</v>
      </c>
      <c r="U15" s="114">
        <f t="shared" si="5"/>
        <v>-1</v>
      </c>
    </row>
    <row r="16" spans="1:45" x14ac:dyDescent="0.25">
      <c r="A16" s="41" t="s">
        <v>13</v>
      </c>
      <c r="B16" s="41"/>
      <c r="C16" s="94">
        <f>J16+Q16</f>
        <v>828775</v>
      </c>
      <c r="D16" s="79">
        <f>K16+R16</f>
        <v>301980</v>
      </c>
      <c r="E16" s="79">
        <f t="shared" si="7"/>
        <v>1278689</v>
      </c>
      <c r="F16" s="110">
        <f t="shared" si="0"/>
        <v>-1</v>
      </c>
      <c r="G16" s="110">
        <f t="shared" si="1"/>
        <v>-1</v>
      </c>
      <c r="H16" s="40"/>
      <c r="I16" s="63"/>
      <c r="J16" s="63">
        <f>368176+367122+26056+26056</f>
        <v>787410</v>
      </c>
      <c r="K16" s="63">
        <f>128791+130662+9540+9540</f>
        <v>278533</v>
      </c>
      <c r="L16" s="63">
        <f>572711+567370+37309+37309</f>
        <v>1214699</v>
      </c>
      <c r="M16" s="112">
        <f t="shared" si="2"/>
        <v>-1</v>
      </c>
      <c r="N16" s="112">
        <f t="shared" si="3"/>
        <v>-1</v>
      </c>
      <c r="O16" s="40"/>
      <c r="P16" s="63"/>
      <c r="Q16" s="63">
        <f>21720+19645</f>
        <v>41365</v>
      </c>
      <c r="R16" s="63">
        <f>12482+10965</f>
        <v>23447</v>
      </c>
      <c r="S16" s="63">
        <f>33353+30383+127+127</f>
        <v>63990</v>
      </c>
      <c r="T16" s="112">
        <f t="shared" si="4"/>
        <v>-1</v>
      </c>
      <c r="U16" s="112">
        <f t="shared" si="5"/>
        <v>-1</v>
      </c>
    </row>
    <row r="17" spans="1:21" x14ac:dyDescent="0.25">
      <c r="A17" s="49" t="s">
        <v>14</v>
      </c>
      <c r="B17" s="49"/>
      <c r="C17" s="80">
        <f>J17+Q17</f>
        <v>813425</v>
      </c>
      <c r="D17" s="80">
        <f>K17+R17</f>
        <v>244147</v>
      </c>
      <c r="E17" s="80">
        <f t="shared" si="7"/>
        <v>1368656</v>
      </c>
      <c r="F17" s="111">
        <f t="shared" si="0"/>
        <v>-1</v>
      </c>
      <c r="G17" s="111">
        <f t="shared" si="1"/>
        <v>-1</v>
      </c>
      <c r="H17" s="40"/>
      <c r="I17" s="64"/>
      <c r="J17" s="64">
        <f>358553+349800+28867+28867</f>
        <v>766087</v>
      </c>
      <c r="K17" s="64">
        <f>99082+92448+10003+10003</f>
        <v>211536</v>
      </c>
      <c r="L17" s="64">
        <f>607531+595736+43887+43887</f>
        <v>1291041</v>
      </c>
      <c r="M17" s="113">
        <f t="shared" si="2"/>
        <v>-1</v>
      </c>
      <c r="N17" s="113">
        <f t="shared" si="3"/>
        <v>-1</v>
      </c>
      <c r="O17" s="40"/>
      <c r="P17" s="65"/>
      <c r="Q17" s="65">
        <f>27705+19633</f>
        <v>47338</v>
      </c>
      <c r="R17" s="65">
        <f>18956+13655</f>
        <v>32611</v>
      </c>
      <c r="S17" s="65">
        <f>42188+35339+88</f>
        <v>77615</v>
      </c>
      <c r="T17" s="114">
        <f t="shared" si="4"/>
        <v>-1</v>
      </c>
      <c r="U17" s="114">
        <f t="shared" si="5"/>
        <v>-1</v>
      </c>
    </row>
    <row r="18" spans="1:21" x14ac:dyDescent="0.25">
      <c r="A18" s="38" t="s">
        <v>35</v>
      </c>
      <c r="B18" s="81">
        <f>SUM(B6:B7)</f>
        <v>1171039</v>
      </c>
      <c r="C18" s="81">
        <f>SUM(C6:C7)</f>
        <v>425701</v>
      </c>
      <c r="D18" s="81">
        <f t="shared" ref="D18:E18" si="9">SUM(D6:D7)</f>
        <v>2263500</v>
      </c>
      <c r="E18" s="81">
        <f t="shared" si="9"/>
        <v>2107262</v>
      </c>
      <c r="F18" s="110">
        <f>B18/C18-1</f>
        <v>1.7508486003086672</v>
      </c>
      <c r="G18" s="110">
        <f t="shared" si="1"/>
        <v>-0.44428409946176606</v>
      </c>
      <c r="H18" s="40"/>
      <c r="I18" s="81">
        <f>SUM(I6:I7)</f>
        <v>1092967</v>
      </c>
      <c r="J18" s="81">
        <f>SUM(J6:J7)</f>
        <v>384664</v>
      </c>
      <c r="K18" s="81">
        <f t="shared" ref="K18:L18" si="10">SUM(K6:K7)</f>
        <v>2126633</v>
      </c>
      <c r="L18" s="81">
        <f t="shared" si="10"/>
        <v>1979775</v>
      </c>
      <c r="M18" s="110">
        <f>I18/J18-1</f>
        <v>1.8413550527213358</v>
      </c>
      <c r="N18" s="110">
        <f t="shared" si="3"/>
        <v>-0.4479337298430377</v>
      </c>
      <c r="O18" s="40"/>
      <c r="P18" s="81">
        <f>SUM(P6:P7)</f>
        <v>78072</v>
      </c>
      <c r="Q18" s="81">
        <f>SUM(Q6:Q7)</f>
        <v>41037</v>
      </c>
      <c r="R18" s="81">
        <f t="shared" ref="R18:S18" si="11">SUM(R6:R7)</f>
        <v>136867</v>
      </c>
      <c r="S18" s="81">
        <f t="shared" si="11"/>
        <v>127487</v>
      </c>
      <c r="T18" s="110">
        <f>P18/Q18-1</f>
        <v>0.90247825133416182</v>
      </c>
      <c r="U18" s="110">
        <f t="shared" si="5"/>
        <v>-0.38760814828178558</v>
      </c>
    </row>
    <row r="19" spans="1:21" x14ac:dyDescent="0.25">
      <c r="A19" s="37"/>
      <c r="B19" s="37"/>
      <c r="C19" s="37"/>
      <c r="D19" s="37"/>
      <c r="H19" s="40"/>
      <c r="I19" s="40"/>
      <c r="J19" s="40"/>
    </row>
    <row r="20" spans="1:21" x14ac:dyDescent="0.25">
      <c r="A20" s="42" t="s">
        <v>41</v>
      </c>
      <c r="B20" s="42"/>
      <c r="C20" s="42"/>
      <c r="D20" s="56"/>
      <c r="L20" s="39"/>
      <c r="M20" s="39"/>
      <c r="R20" s="39"/>
      <c r="S20" s="39"/>
    </row>
    <row r="21" spans="1:21" x14ac:dyDescent="0.25">
      <c r="A21" s="2" t="s">
        <v>49</v>
      </c>
      <c r="B21" s="2"/>
      <c r="C21" s="2"/>
      <c r="R21" s="39"/>
      <c r="S21" s="48"/>
    </row>
    <row r="23" spans="1:21" x14ac:dyDescent="0.25">
      <c r="D23" s="29"/>
      <c r="E23" s="29"/>
      <c r="F23" s="29"/>
      <c r="G23" s="29"/>
    </row>
  </sheetData>
  <mergeCells count="4">
    <mergeCell ref="A1:T1"/>
    <mergeCell ref="B3:G3"/>
    <mergeCell ref="I3:N3"/>
    <mergeCell ref="P3:U3"/>
  </mergeCells>
  <phoneticPr fontId="17" type="noConversion"/>
  <pageMargins left="0.7" right="0.7" top="0.75" bottom="0.75" header="0.3" footer="0.3"/>
  <pageSetup scale="5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39997558519241921"/>
    <pageSetUpPr fitToPage="1"/>
  </sheetPr>
  <dimension ref="A1:AS23"/>
  <sheetViews>
    <sheetView zoomScaleNormal="100" zoomScaleSheetLayoutView="100" workbookViewId="0">
      <selection activeCell="F28" sqref="F28"/>
    </sheetView>
  </sheetViews>
  <sheetFormatPr baseColWidth="10" defaultColWidth="8.83203125" defaultRowHeight="19" x14ac:dyDescent="0.25"/>
  <cols>
    <col min="1" max="21" width="13.83203125" style="33" customWidth="1"/>
  </cols>
  <sheetData>
    <row r="1" spans="1:45" ht="34" customHeight="1" x14ac:dyDescent="0.2">
      <c r="A1" s="97" t="s">
        <v>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66"/>
      <c r="V1" s="47"/>
      <c r="W1" s="47"/>
      <c r="X1" s="47"/>
      <c r="Y1" s="47"/>
      <c r="Z1" s="47"/>
      <c r="AA1" s="47"/>
    </row>
    <row r="2" spans="1:45" ht="15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s="47"/>
      <c r="W2" s="47"/>
      <c r="X2" s="47"/>
      <c r="Y2" s="47"/>
      <c r="Z2" s="47"/>
      <c r="AA2" s="47"/>
    </row>
    <row r="3" spans="1:45" x14ac:dyDescent="0.25">
      <c r="A3" s="34"/>
      <c r="B3" s="100" t="s">
        <v>47</v>
      </c>
      <c r="C3" s="100"/>
      <c r="D3" s="100"/>
      <c r="E3" s="100"/>
      <c r="F3" s="100"/>
      <c r="G3" s="101"/>
      <c r="H3" s="53"/>
      <c r="I3" s="108" t="s">
        <v>15</v>
      </c>
      <c r="J3" s="108"/>
      <c r="K3" s="108"/>
      <c r="L3" s="108"/>
      <c r="M3" s="108"/>
      <c r="N3" s="109"/>
      <c r="O3" s="73"/>
      <c r="P3" s="106" t="s">
        <v>16</v>
      </c>
      <c r="Q3" s="106"/>
      <c r="R3" s="106"/>
      <c r="S3" s="106"/>
      <c r="T3" s="106"/>
      <c r="U3" s="107"/>
    </row>
    <row r="4" spans="1:45" ht="40" x14ac:dyDescent="0.25">
      <c r="A4" s="35"/>
      <c r="B4" s="75">
        <v>2022</v>
      </c>
      <c r="C4" s="75">
        <v>2021</v>
      </c>
      <c r="D4" s="75">
        <v>2020</v>
      </c>
      <c r="E4" s="75">
        <v>2019</v>
      </c>
      <c r="F4" s="76" t="s">
        <v>56</v>
      </c>
      <c r="G4" s="76" t="s">
        <v>54</v>
      </c>
      <c r="H4" s="37"/>
      <c r="I4" s="69">
        <v>2022</v>
      </c>
      <c r="J4" s="69">
        <v>2021</v>
      </c>
      <c r="K4" s="69">
        <v>2020</v>
      </c>
      <c r="L4" s="69">
        <v>2019</v>
      </c>
      <c r="M4" s="76" t="s">
        <v>56</v>
      </c>
      <c r="N4" s="76" t="s">
        <v>54</v>
      </c>
      <c r="O4" s="67"/>
      <c r="P4" s="69">
        <v>2022</v>
      </c>
      <c r="Q4" s="69">
        <v>2021</v>
      </c>
      <c r="R4" s="69">
        <v>2020</v>
      </c>
      <c r="S4" s="69">
        <v>2019</v>
      </c>
      <c r="T4" s="76" t="s">
        <v>56</v>
      </c>
      <c r="U4" s="76" t="s">
        <v>54</v>
      </c>
    </row>
    <row r="5" spans="1:45" x14ac:dyDescent="0.25">
      <c r="A5" s="49"/>
      <c r="B5" s="49"/>
      <c r="C5" s="77"/>
      <c r="D5" s="78"/>
      <c r="E5" s="78"/>
      <c r="F5" s="78"/>
      <c r="G5" s="78"/>
      <c r="H5" s="37"/>
      <c r="I5" s="54"/>
      <c r="J5" s="54"/>
      <c r="K5" s="54"/>
      <c r="L5" s="55"/>
      <c r="M5" s="54"/>
      <c r="N5" s="54"/>
      <c r="O5" s="37"/>
      <c r="P5" s="50"/>
      <c r="Q5" s="50"/>
      <c r="R5" s="50"/>
      <c r="S5" s="51"/>
      <c r="T5" s="50"/>
      <c r="U5" s="50"/>
    </row>
    <row r="6" spans="1:45" x14ac:dyDescent="0.25">
      <c r="A6" s="38" t="s">
        <v>3</v>
      </c>
      <c r="B6" s="79">
        <f>SUM(I6,P6)</f>
        <v>2087440</v>
      </c>
      <c r="C6" s="79">
        <f>SUM(J6,Q6)</f>
        <v>769908</v>
      </c>
      <c r="D6" s="79">
        <f>SUM(K6,R6)</f>
        <v>4237162</v>
      </c>
      <c r="E6" s="79">
        <f>SUM(L6,S6)</f>
        <v>4151715</v>
      </c>
      <c r="F6" s="110">
        <f>B6/C6-1</f>
        <v>1.7112849846994704</v>
      </c>
      <c r="G6" s="110">
        <f>B6/E6-1</f>
        <v>-0.49721018904235958</v>
      </c>
      <c r="H6" s="40"/>
      <c r="I6" s="63">
        <v>1677788</v>
      </c>
      <c r="J6" s="63">
        <v>628767</v>
      </c>
      <c r="K6" s="63">
        <v>3038185</v>
      </c>
      <c r="L6" s="63">
        <v>3006978</v>
      </c>
      <c r="M6" s="112">
        <f>I6/J6-1</f>
        <v>1.6683779524052631</v>
      </c>
      <c r="N6" s="112">
        <f>I6/L6-1</f>
        <v>-0.44203515955221484</v>
      </c>
      <c r="O6" s="37"/>
      <c r="P6" s="63">
        <v>409652</v>
      </c>
      <c r="Q6" s="63">
        <v>141141</v>
      </c>
      <c r="R6" s="63">
        <v>1198977</v>
      </c>
      <c r="S6" s="63">
        <v>1144737</v>
      </c>
      <c r="T6" s="112">
        <f>P6/Q6-1</f>
        <v>1.9024309024309023</v>
      </c>
      <c r="U6" s="112">
        <f>P6/S6-1</f>
        <v>-0.64214312981933841</v>
      </c>
    </row>
    <row r="7" spans="1:45" x14ac:dyDescent="0.25">
      <c r="A7" s="49" t="s">
        <v>4</v>
      </c>
      <c r="B7" s="80">
        <f>SUM(I7,P7)</f>
        <v>2252900</v>
      </c>
      <c r="C7" s="80">
        <f>SUM(J7,Q7)</f>
        <v>736203</v>
      </c>
      <c r="D7" s="80">
        <f>SUM(K7,R7)</f>
        <v>3739287</v>
      </c>
      <c r="E7" s="80">
        <f>SUM(L7,S7)</f>
        <v>3749553</v>
      </c>
      <c r="F7" s="111">
        <f t="shared" ref="F7:F18" si="0">B7/C7-1</f>
        <v>2.0601613957020009</v>
      </c>
      <c r="G7" s="111">
        <f t="shared" ref="G7:G18" si="1">B7/E7-1</f>
        <v>-0.39915504594814366</v>
      </c>
      <c r="H7" s="40"/>
      <c r="I7" s="64">
        <v>1898640</v>
      </c>
      <c r="J7" s="64">
        <v>642790</v>
      </c>
      <c r="K7" s="64">
        <v>2870789</v>
      </c>
      <c r="L7" s="64">
        <v>2762567</v>
      </c>
      <c r="M7" s="113">
        <f t="shared" ref="M7:M18" si="2">I7/J7-1</f>
        <v>1.953748502621385</v>
      </c>
      <c r="N7" s="113">
        <f t="shared" ref="N7:N18" si="3">I7/L7-1</f>
        <v>-0.3127261709851743</v>
      </c>
      <c r="O7" s="40"/>
      <c r="P7" s="65">
        <v>354260</v>
      </c>
      <c r="Q7" s="65">
        <v>93413</v>
      </c>
      <c r="R7" s="65">
        <v>868498</v>
      </c>
      <c r="S7" s="65">
        <v>986986</v>
      </c>
      <c r="T7" s="114">
        <f t="shared" ref="T7:T18" si="4">P7/Q7-1</f>
        <v>2.7924057679337992</v>
      </c>
      <c r="U7" s="114">
        <f t="shared" ref="U7:U18" si="5">P7/S7-1</f>
        <v>-0.64106887027779524</v>
      </c>
    </row>
    <row r="8" spans="1:45" x14ac:dyDescent="0.25">
      <c r="A8" s="41" t="s">
        <v>5</v>
      </c>
      <c r="B8" s="41"/>
      <c r="C8" s="79">
        <f>SUM(J8,Q8)</f>
        <v>1159844</v>
      </c>
      <c r="D8" s="79">
        <f>SUM(K8,R8)</f>
        <v>1887581</v>
      </c>
      <c r="E8" s="79">
        <f>SUM(L8,S8)</f>
        <v>4595505</v>
      </c>
      <c r="F8" s="110">
        <f t="shared" si="0"/>
        <v>-1</v>
      </c>
      <c r="G8" s="110">
        <f t="shared" si="1"/>
        <v>-1</v>
      </c>
      <c r="H8" s="40"/>
      <c r="I8" s="63"/>
      <c r="J8" s="63">
        <v>1029766</v>
      </c>
      <c r="K8" s="63">
        <v>1431537</v>
      </c>
      <c r="L8" s="63">
        <v>3449468</v>
      </c>
      <c r="M8" s="112">
        <f t="shared" si="2"/>
        <v>-1</v>
      </c>
      <c r="N8" s="112">
        <f t="shared" si="3"/>
        <v>-1</v>
      </c>
      <c r="O8" s="40"/>
      <c r="P8" s="63"/>
      <c r="Q8" s="63">
        <v>130078</v>
      </c>
      <c r="R8" s="63">
        <v>456044</v>
      </c>
      <c r="S8" s="63">
        <v>1146037</v>
      </c>
      <c r="T8" s="112">
        <f t="shared" si="4"/>
        <v>-1</v>
      </c>
      <c r="U8" s="112">
        <f t="shared" si="5"/>
        <v>-1</v>
      </c>
    </row>
    <row r="9" spans="1:45" x14ac:dyDescent="0.25">
      <c r="A9" s="49" t="s">
        <v>6</v>
      </c>
      <c r="B9" s="49"/>
      <c r="C9" s="80">
        <f>SUM(J9,Q9)</f>
        <v>1455912</v>
      </c>
      <c r="D9" s="80">
        <f>K9+R9</f>
        <v>137830</v>
      </c>
      <c r="E9" s="80">
        <f t="shared" ref="E9" si="6">SUM(L9,S9)</f>
        <v>4688092</v>
      </c>
      <c r="F9" s="111">
        <f t="shared" si="0"/>
        <v>-1</v>
      </c>
      <c r="G9" s="111">
        <f t="shared" si="1"/>
        <v>-1</v>
      </c>
      <c r="H9" s="40"/>
      <c r="I9" s="64"/>
      <c r="J9" s="64">
        <v>1314414</v>
      </c>
      <c r="K9" s="64">
        <v>120720</v>
      </c>
      <c r="L9" s="64">
        <v>3488454</v>
      </c>
      <c r="M9" s="113">
        <f t="shared" si="2"/>
        <v>-1</v>
      </c>
      <c r="N9" s="113">
        <f t="shared" si="3"/>
        <v>-1</v>
      </c>
      <c r="O9" s="40"/>
      <c r="P9" s="65"/>
      <c r="Q9" s="65">
        <v>141498</v>
      </c>
      <c r="R9" s="65">
        <v>17110</v>
      </c>
      <c r="S9" s="65">
        <v>1199638</v>
      </c>
      <c r="T9" s="114">
        <f t="shared" si="4"/>
        <v>-1</v>
      </c>
      <c r="U9" s="114">
        <f t="shared" si="5"/>
        <v>-1</v>
      </c>
    </row>
    <row r="10" spans="1:45" x14ac:dyDescent="0.25">
      <c r="A10" s="38" t="s">
        <v>7</v>
      </c>
      <c r="B10" s="38"/>
      <c r="C10" s="79">
        <f>SUM(J10,Q10)</f>
        <v>1739021</v>
      </c>
      <c r="D10" s="79">
        <v>286570</v>
      </c>
      <c r="E10" s="79">
        <f t="shared" ref="E10:E17" si="7">SUM(L10,S10)</f>
        <v>5002917</v>
      </c>
      <c r="F10" s="110">
        <f t="shared" si="0"/>
        <v>-1</v>
      </c>
      <c r="G10" s="110">
        <f t="shared" si="1"/>
        <v>-1</v>
      </c>
      <c r="H10" s="40"/>
      <c r="I10" s="63"/>
      <c r="J10" s="63">
        <v>1568389</v>
      </c>
      <c r="K10" s="63">
        <v>268489</v>
      </c>
      <c r="L10" s="63">
        <v>3665245</v>
      </c>
      <c r="M10" s="112">
        <f t="shared" si="2"/>
        <v>-1</v>
      </c>
      <c r="N10" s="112">
        <f t="shared" si="3"/>
        <v>-1</v>
      </c>
      <c r="O10" s="40"/>
      <c r="P10" s="63"/>
      <c r="Q10" s="63">
        <v>170632</v>
      </c>
      <c r="R10" s="63">
        <v>18081</v>
      </c>
      <c r="S10" s="63">
        <v>1337672</v>
      </c>
      <c r="T10" s="112">
        <f t="shared" si="4"/>
        <v>-1</v>
      </c>
      <c r="U10" s="112">
        <f t="shared" si="5"/>
        <v>-1</v>
      </c>
    </row>
    <row r="11" spans="1:45" x14ac:dyDescent="0.25">
      <c r="A11" s="49" t="s">
        <v>8</v>
      </c>
      <c r="B11" s="49"/>
      <c r="C11" s="80">
        <f>SUM(J11,Q11)</f>
        <v>2245395</v>
      </c>
      <c r="D11" s="80">
        <v>554760</v>
      </c>
      <c r="E11" s="80">
        <f t="shared" si="7"/>
        <v>5457655</v>
      </c>
      <c r="F11" s="111">
        <f t="shared" si="0"/>
        <v>-1</v>
      </c>
      <c r="G11" s="111">
        <f t="shared" si="1"/>
        <v>-1</v>
      </c>
      <c r="H11" s="40"/>
      <c r="I11" s="64"/>
      <c r="J11" s="64">
        <v>1976577</v>
      </c>
      <c r="K11" s="64">
        <v>510795</v>
      </c>
      <c r="L11" s="64">
        <v>3970724</v>
      </c>
      <c r="M11" s="113">
        <f t="shared" si="2"/>
        <v>-1</v>
      </c>
      <c r="N11" s="113">
        <f t="shared" si="3"/>
        <v>-1</v>
      </c>
      <c r="O11" s="40"/>
      <c r="P11" s="65"/>
      <c r="Q11" s="65">
        <v>268818</v>
      </c>
      <c r="R11" s="65">
        <v>43965</v>
      </c>
      <c r="S11" s="65">
        <v>1486931</v>
      </c>
      <c r="T11" s="114">
        <f t="shared" si="4"/>
        <v>-1</v>
      </c>
      <c r="U11" s="114">
        <f t="shared" si="5"/>
        <v>-1</v>
      </c>
    </row>
    <row r="12" spans="1:45" x14ac:dyDescent="0.25">
      <c r="A12" s="38" t="s">
        <v>9</v>
      </c>
      <c r="B12" s="38"/>
      <c r="C12" s="79">
        <f>SUM(J12,Q12)</f>
        <v>2731674</v>
      </c>
      <c r="D12" s="79">
        <v>765274</v>
      </c>
      <c r="E12" s="79">
        <f t="shared" si="7"/>
        <v>5604464</v>
      </c>
      <c r="F12" s="110">
        <f t="shared" si="0"/>
        <v>-1</v>
      </c>
      <c r="G12" s="110">
        <f t="shared" si="1"/>
        <v>-1</v>
      </c>
      <c r="H12" s="40"/>
      <c r="I12" s="63"/>
      <c r="J12" s="63">
        <v>2363214</v>
      </c>
      <c r="K12" s="63">
        <v>694324</v>
      </c>
      <c r="L12" s="63">
        <v>4081450</v>
      </c>
      <c r="M12" s="112">
        <f t="shared" si="2"/>
        <v>-1</v>
      </c>
      <c r="N12" s="112">
        <f t="shared" si="3"/>
        <v>-1</v>
      </c>
      <c r="O12" s="40"/>
      <c r="P12" s="63"/>
      <c r="Q12" s="63">
        <v>368460</v>
      </c>
      <c r="R12" s="63">
        <v>70950</v>
      </c>
      <c r="S12" s="63">
        <v>1523014</v>
      </c>
      <c r="T12" s="112">
        <f t="shared" si="4"/>
        <v>-1</v>
      </c>
      <c r="U12" s="112">
        <f t="shared" si="5"/>
        <v>-1</v>
      </c>
    </row>
    <row r="13" spans="1:45" x14ac:dyDescent="0.25">
      <c r="A13" s="49" t="s">
        <v>10</v>
      </c>
      <c r="B13" s="49"/>
      <c r="C13" s="80">
        <f>SUM(J13,Q13)</f>
        <v>2648891</v>
      </c>
      <c r="D13" s="80">
        <f>K13+R13</f>
        <v>852398</v>
      </c>
      <c r="E13" s="80">
        <f t="shared" si="7"/>
        <v>5734116</v>
      </c>
      <c r="F13" s="111">
        <f t="shared" si="0"/>
        <v>-1</v>
      </c>
      <c r="G13" s="111">
        <f t="shared" si="1"/>
        <v>-1</v>
      </c>
      <c r="H13" s="40"/>
      <c r="I13" s="64"/>
      <c r="J13" s="64">
        <v>2250919</v>
      </c>
      <c r="K13" s="64">
        <v>750406</v>
      </c>
      <c r="L13" s="64">
        <v>4227342</v>
      </c>
      <c r="M13" s="113">
        <f t="shared" si="2"/>
        <v>-1</v>
      </c>
      <c r="N13" s="113">
        <f t="shared" si="3"/>
        <v>-1</v>
      </c>
      <c r="O13" s="40"/>
      <c r="P13" s="65"/>
      <c r="Q13" s="65">
        <v>397972</v>
      </c>
      <c r="R13" s="65">
        <v>101992</v>
      </c>
      <c r="S13" s="65">
        <v>1506774</v>
      </c>
      <c r="T13" s="114">
        <f t="shared" si="4"/>
        <v>-1</v>
      </c>
      <c r="U13" s="114">
        <f t="shared" si="5"/>
        <v>-1</v>
      </c>
    </row>
    <row r="14" spans="1:45" s="47" customFormat="1" x14ac:dyDescent="0.25">
      <c r="A14" s="43" t="s">
        <v>11</v>
      </c>
      <c r="B14" s="43"/>
      <c r="C14" s="79">
        <f>SUM(J14,Q14)</f>
        <v>2419817</v>
      </c>
      <c r="D14" s="79">
        <v>905992</v>
      </c>
      <c r="E14" s="79">
        <f t="shared" si="7"/>
        <v>4464816</v>
      </c>
      <c r="F14" s="110">
        <f t="shared" si="0"/>
        <v>-1</v>
      </c>
      <c r="G14" s="110">
        <f t="shared" si="1"/>
        <v>-1</v>
      </c>
      <c r="H14" s="40"/>
      <c r="I14" s="63"/>
      <c r="J14" s="63">
        <v>2082533</v>
      </c>
      <c r="K14" s="63">
        <v>803620</v>
      </c>
      <c r="L14" s="63">
        <v>3192029</v>
      </c>
      <c r="M14" s="112">
        <f t="shared" si="2"/>
        <v>-1</v>
      </c>
      <c r="N14" s="112">
        <f t="shared" si="3"/>
        <v>-1</v>
      </c>
      <c r="O14" s="46"/>
      <c r="P14" s="63"/>
      <c r="Q14" s="63">
        <v>337284</v>
      </c>
      <c r="R14" s="63">
        <v>102372</v>
      </c>
      <c r="S14" s="63">
        <v>1272787</v>
      </c>
      <c r="T14" s="112">
        <f t="shared" si="4"/>
        <v>-1</v>
      </c>
      <c r="U14" s="112">
        <f t="shared" si="5"/>
        <v>-1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s="6" customFormat="1" x14ac:dyDescent="0.25">
      <c r="A15" s="49" t="s">
        <v>12</v>
      </c>
      <c r="B15" s="49"/>
      <c r="C15" s="80">
        <f>SUM(J15,Q15)</f>
        <v>2711480</v>
      </c>
      <c r="D15" s="80">
        <v>1073882</v>
      </c>
      <c r="E15" s="80">
        <f t="shared" si="7"/>
        <v>4817703</v>
      </c>
      <c r="F15" s="111">
        <f t="shared" si="0"/>
        <v>-1</v>
      </c>
      <c r="G15" s="111">
        <f t="shared" si="1"/>
        <v>-1</v>
      </c>
      <c r="H15" s="40"/>
      <c r="I15" s="64"/>
      <c r="J15" s="64">
        <v>2363925</v>
      </c>
      <c r="K15" s="64">
        <v>952309</v>
      </c>
      <c r="L15" s="64">
        <v>3578718</v>
      </c>
      <c r="M15" s="113">
        <f t="shared" si="2"/>
        <v>-1</v>
      </c>
      <c r="N15" s="113">
        <f t="shared" si="3"/>
        <v>-1</v>
      </c>
      <c r="O15" s="40"/>
      <c r="P15" s="65"/>
      <c r="Q15" s="65">
        <v>347555</v>
      </c>
      <c r="R15" s="65">
        <v>121573</v>
      </c>
      <c r="S15" s="65">
        <v>1238985</v>
      </c>
      <c r="T15" s="114">
        <f t="shared" si="4"/>
        <v>-1</v>
      </c>
      <c r="U15" s="114">
        <f t="shared" si="5"/>
        <v>-1</v>
      </c>
    </row>
    <row r="16" spans="1:45" x14ac:dyDescent="0.25">
      <c r="A16" s="41" t="s">
        <v>13</v>
      </c>
      <c r="B16" s="41"/>
      <c r="C16" s="79">
        <f>SUM(J16,Q16)</f>
        <v>2797518</v>
      </c>
      <c r="D16" s="79">
        <v>1073882</v>
      </c>
      <c r="E16" s="79">
        <f t="shared" si="7"/>
        <v>4364780</v>
      </c>
      <c r="F16" s="110">
        <f t="shared" si="0"/>
        <v>-1</v>
      </c>
      <c r="G16" s="110">
        <f t="shared" si="1"/>
        <v>-1</v>
      </c>
      <c r="H16" s="40"/>
      <c r="I16" s="63"/>
      <c r="J16" s="63">
        <v>2382906</v>
      </c>
      <c r="K16" s="63">
        <v>915452</v>
      </c>
      <c r="L16" s="63">
        <v>3228934</v>
      </c>
      <c r="M16" s="112">
        <f t="shared" si="2"/>
        <v>-1</v>
      </c>
      <c r="N16" s="112">
        <f t="shared" si="3"/>
        <v>-1</v>
      </c>
      <c r="O16" s="40"/>
      <c r="P16" s="63"/>
      <c r="Q16" s="63">
        <v>414612</v>
      </c>
      <c r="R16" s="63">
        <v>136787</v>
      </c>
      <c r="S16" s="63">
        <v>1135846</v>
      </c>
      <c r="T16" s="112">
        <f t="shared" si="4"/>
        <v>-1</v>
      </c>
      <c r="U16" s="112">
        <f t="shared" si="5"/>
        <v>-1</v>
      </c>
    </row>
    <row r="17" spans="1:21" x14ac:dyDescent="0.25">
      <c r="A17" s="49" t="s">
        <v>14</v>
      </c>
      <c r="B17" s="49"/>
      <c r="C17" s="80">
        <f>SUM(J17,Q17)</f>
        <v>2909816</v>
      </c>
      <c r="D17" s="80">
        <f>SUM(K17,R17)</f>
        <v>918662</v>
      </c>
      <c r="E17" s="80">
        <f t="shared" si="7"/>
        <v>4715471</v>
      </c>
      <c r="F17" s="111">
        <f t="shared" si="0"/>
        <v>-1</v>
      </c>
      <c r="G17" s="111">
        <f t="shared" si="1"/>
        <v>-1</v>
      </c>
      <c r="H17" s="40"/>
      <c r="I17" s="64"/>
      <c r="J17" s="64">
        <v>2385441</v>
      </c>
      <c r="K17" s="64">
        <v>760119</v>
      </c>
      <c r="L17" s="64">
        <v>3457081</v>
      </c>
      <c r="M17" s="113">
        <f t="shared" si="2"/>
        <v>-1</v>
      </c>
      <c r="N17" s="113">
        <f t="shared" si="3"/>
        <v>-1</v>
      </c>
      <c r="O17" s="40"/>
      <c r="P17" s="65"/>
      <c r="Q17" s="65">
        <v>524375</v>
      </c>
      <c r="R17" s="65">
        <v>158543</v>
      </c>
      <c r="S17" s="65">
        <v>1258390</v>
      </c>
      <c r="T17" s="114">
        <f t="shared" si="4"/>
        <v>-1</v>
      </c>
      <c r="U17" s="114">
        <f t="shared" si="5"/>
        <v>-1</v>
      </c>
    </row>
    <row r="18" spans="1:21" x14ac:dyDescent="0.25">
      <c r="A18" s="38" t="s">
        <v>28</v>
      </c>
      <c r="B18" s="81">
        <f>SUM(B6:B17)</f>
        <v>4340340</v>
      </c>
      <c r="C18" s="81">
        <f>SUM(C6:C7)</f>
        <v>1506111</v>
      </c>
      <c r="D18" s="81">
        <f t="shared" ref="D18:E18" si="8">SUM(D6:D7)</f>
        <v>7976449</v>
      </c>
      <c r="E18" s="81">
        <f>SUM(E6:E7)</f>
        <v>7901268</v>
      </c>
      <c r="F18" s="110">
        <f>B18/C18-1</f>
        <v>1.8818194674894482</v>
      </c>
      <c r="G18" s="110">
        <f>B18/E18-1</f>
        <v>-0.45067804306853032</v>
      </c>
      <c r="H18" s="40"/>
      <c r="I18" s="81">
        <f>SUM(I6:I7)</f>
        <v>3576428</v>
      </c>
      <c r="J18" s="81">
        <f>SUM(J6:J7)</f>
        <v>1271557</v>
      </c>
      <c r="K18" s="81">
        <f t="shared" ref="K18:L18" si="9">SUM(K6:K7)</f>
        <v>5908974</v>
      </c>
      <c r="L18" s="81">
        <f t="shared" si="9"/>
        <v>5769545</v>
      </c>
      <c r="M18" s="110">
        <f>I18/J18-1</f>
        <v>1.8126367909578573</v>
      </c>
      <c r="N18" s="110">
        <f>I18/L18-1</f>
        <v>-0.38011957615375214</v>
      </c>
      <c r="O18" s="40"/>
      <c r="P18" s="81">
        <f>SUM(P6:P7)</f>
        <v>763912</v>
      </c>
      <c r="Q18" s="81">
        <f>SUM(Q6:Q7)</f>
        <v>234554</v>
      </c>
      <c r="R18" s="81">
        <f t="shared" ref="R18:S18" si="10">SUM(R6:R7)</f>
        <v>2067475</v>
      </c>
      <c r="S18" s="81">
        <f t="shared" si="10"/>
        <v>2131723</v>
      </c>
      <c r="T18" s="110">
        <f>P18/Q18-1</f>
        <v>2.2568704861140718</v>
      </c>
      <c r="U18" s="110">
        <f t="shared" si="5"/>
        <v>-0.64164574853299428</v>
      </c>
    </row>
    <row r="19" spans="1:21" x14ac:dyDescent="0.25">
      <c r="A19" s="37"/>
      <c r="B19" s="37"/>
      <c r="C19" s="37"/>
      <c r="D19" s="37"/>
      <c r="H19" s="40"/>
      <c r="I19" s="40"/>
      <c r="J19" s="40"/>
    </row>
    <row r="20" spans="1:21" x14ac:dyDescent="0.25">
      <c r="A20" s="42" t="s">
        <v>42</v>
      </c>
      <c r="B20" s="42"/>
      <c r="C20" s="42"/>
      <c r="D20" s="56"/>
      <c r="L20" s="39"/>
      <c r="M20" s="39"/>
      <c r="R20" s="39"/>
      <c r="S20" s="39"/>
    </row>
    <row r="21" spans="1:21" x14ac:dyDescent="0.25">
      <c r="A21" s="2" t="s">
        <v>49</v>
      </c>
      <c r="B21" s="2"/>
      <c r="C21" s="2"/>
      <c r="R21" s="39"/>
      <c r="S21" s="48"/>
    </row>
    <row r="22" spans="1:21" x14ac:dyDescent="0.25">
      <c r="T22" s="33" t="s">
        <v>50</v>
      </c>
    </row>
    <row r="23" spans="1:21" x14ac:dyDescent="0.25">
      <c r="D23" s="29"/>
      <c r="E23" s="29"/>
      <c r="F23" s="29"/>
      <c r="G23" s="29"/>
    </row>
  </sheetData>
  <mergeCells count="4">
    <mergeCell ref="A1:T1"/>
    <mergeCell ref="I3:N3"/>
    <mergeCell ref="B3:G3"/>
    <mergeCell ref="P3:U3"/>
  </mergeCells>
  <phoneticPr fontId="17" type="noConversion"/>
  <pageMargins left="0.7" right="0.7" top="0.75" bottom="0.75" header="0.3" footer="0.3"/>
  <pageSetup scale="5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4"/>
  <sheetViews>
    <sheetView workbookViewId="0">
      <selection activeCell="J16" sqref="J16"/>
    </sheetView>
  </sheetViews>
  <sheetFormatPr baseColWidth="10" defaultColWidth="8.83203125" defaultRowHeight="15" x14ac:dyDescent="0.2"/>
  <cols>
    <col min="1" max="1" width="4.6640625" style="28" customWidth="1"/>
    <col min="2" max="2" width="4.6640625" customWidth="1"/>
    <col min="3" max="3" width="11" customWidth="1"/>
    <col min="4" max="4" width="14.33203125" customWidth="1"/>
    <col min="5" max="5" width="14.6640625" customWidth="1"/>
    <col min="6" max="6" width="11.1640625" customWidth="1"/>
    <col min="7" max="7" width="14.6640625" customWidth="1"/>
    <col min="8" max="8" width="17.5" customWidth="1"/>
    <col min="9" max="9" width="17.83203125" customWidth="1"/>
    <col min="10" max="10" width="14.6640625" customWidth="1"/>
    <col min="11" max="11" width="10.33203125" customWidth="1"/>
    <col min="12" max="45" width="9.1640625" customWidth="1"/>
  </cols>
  <sheetData>
    <row r="1" spans="1:9" x14ac:dyDescent="0.2">
      <c r="B1" s="30"/>
      <c r="C1" s="31" t="s">
        <v>36</v>
      </c>
      <c r="D1" s="32"/>
      <c r="E1" s="32"/>
    </row>
    <row r="3" spans="1:9" ht="19" x14ac:dyDescent="0.25">
      <c r="A3" s="99" t="s">
        <v>30</v>
      </c>
      <c r="B3" s="99"/>
      <c r="C3" s="99"/>
      <c r="D3" s="99"/>
      <c r="E3" s="99"/>
      <c r="F3" s="99"/>
      <c r="G3" s="99"/>
      <c r="H3" s="99"/>
      <c r="I3" s="99"/>
    </row>
    <row r="4" spans="1:9" x14ac:dyDescent="0.2">
      <c r="C4" s="1"/>
      <c r="D4" s="1"/>
      <c r="E4" s="1"/>
      <c r="F4" s="1"/>
    </row>
    <row r="5" spans="1:9" ht="16" x14ac:dyDescent="0.2">
      <c r="A5" s="28">
        <v>1</v>
      </c>
      <c r="C5" s="26" t="s">
        <v>27</v>
      </c>
      <c r="D5" s="7"/>
      <c r="E5" s="1"/>
      <c r="F5" s="24" t="s">
        <v>31</v>
      </c>
      <c r="G5" s="20"/>
    </row>
    <row r="6" spans="1:9" x14ac:dyDescent="0.2">
      <c r="C6" s="9"/>
      <c r="D6" s="10"/>
      <c r="E6" s="1"/>
      <c r="F6" s="21"/>
      <c r="G6" s="22"/>
      <c r="H6" t="s">
        <v>33</v>
      </c>
    </row>
    <row r="7" spans="1:9" x14ac:dyDescent="0.2">
      <c r="C7" s="11"/>
      <c r="D7" s="12"/>
      <c r="E7" s="1"/>
      <c r="F7" s="22"/>
      <c r="G7" s="22"/>
    </row>
    <row r="8" spans="1:9" x14ac:dyDescent="0.2">
      <c r="C8" s="1"/>
      <c r="D8" s="1"/>
      <c r="E8" s="1"/>
    </row>
    <row r="9" spans="1:9" ht="16" x14ac:dyDescent="0.2">
      <c r="A9" s="28">
        <v>2</v>
      </c>
      <c r="C9" s="26" t="s">
        <v>26</v>
      </c>
      <c r="D9" s="7"/>
      <c r="E9" s="1"/>
      <c r="F9" s="1"/>
    </row>
    <row r="10" spans="1:9" ht="16" x14ac:dyDescent="0.2">
      <c r="C10" s="9"/>
      <c r="D10" s="13"/>
      <c r="E10" s="1"/>
      <c r="F10" s="24" t="s">
        <v>32</v>
      </c>
      <c r="G10" s="25"/>
    </row>
    <row r="11" spans="1:9" x14ac:dyDescent="0.2">
      <c r="C11" s="11"/>
      <c r="D11" s="14"/>
      <c r="E11" s="1"/>
      <c r="F11" s="23"/>
      <c r="G11" s="23"/>
      <c r="H11" t="s">
        <v>33</v>
      </c>
    </row>
    <row r="12" spans="1:9" x14ac:dyDescent="0.2">
      <c r="C12" s="1"/>
      <c r="D12" s="1"/>
      <c r="E12" s="1"/>
      <c r="F12" s="23"/>
      <c r="G12" s="23"/>
    </row>
    <row r="13" spans="1:9" ht="16" x14ac:dyDescent="0.2">
      <c r="A13" s="28">
        <v>3</v>
      </c>
      <c r="C13" s="26" t="s">
        <v>21</v>
      </c>
      <c r="D13" s="7"/>
      <c r="E13" s="1"/>
    </row>
    <row r="14" spans="1:9" x14ac:dyDescent="0.2">
      <c r="C14" s="9"/>
      <c r="D14" s="10"/>
      <c r="E14" s="1"/>
    </row>
    <row r="15" spans="1:9" x14ac:dyDescent="0.2">
      <c r="C15" s="11"/>
      <c r="D15" s="12"/>
      <c r="E15" s="1"/>
    </row>
    <row r="16" spans="1:9" x14ac:dyDescent="0.2">
      <c r="C16" s="1"/>
      <c r="D16" s="1"/>
      <c r="E16" s="1"/>
    </row>
    <row r="17" spans="1:6" ht="16" x14ac:dyDescent="0.2">
      <c r="A17" s="28">
        <v>4</v>
      </c>
      <c r="C17" s="26" t="s">
        <v>25</v>
      </c>
      <c r="D17" s="7"/>
      <c r="E17" s="1"/>
    </row>
    <row r="18" spans="1:6" x14ac:dyDescent="0.2">
      <c r="C18" s="9"/>
      <c r="D18" s="15"/>
      <c r="E18" s="1"/>
    </row>
    <row r="19" spans="1:6" x14ac:dyDescent="0.2">
      <c r="C19" s="19"/>
      <c r="D19" s="16"/>
      <c r="E19" s="1"/>
    </row>
    <row r="20" spans="1:6" x14ac:dyDescent="0.2">
      <c r="C20" s="1"/>
      <c r="D20" s="1"/>
      <c r="E20" s="1"/>
      <c r="F20" s="1"/>
    </row>
    <row r="21" spans="1:6" ht="16" x14ac:dyDescent="0.2">
      <c r="A21" s="28">
        <v>5</v>
      </c>
      <c r="C21" s="26" t="s">
        <v>20</v>
      </c>
      <c r="D21" s="7"/>
    </row>
    <row r="22" spans="1:6" x14ac:dyDescent="0.2">
      <c r="C22" s="9"/>
      <c r="D22" s="13"/>
    </row>
    <row r="23" spans="1:6" x14ac:dyDescent="0.2">
      <c r="C23" s="19"/>
      <c r="D23" s="14"/>
    </row>
    <row r="24" spans="1:6" x14ac:dyDescent="0.2">
      <c r="C24" s="1"/>
      <c r="D24" s="1"/>
      <c r="E24" s="1"/>
    </row>
    <row r="25" spans="1:6" ht="16" x14ac:dyDescent="0.2">
      <c r="A25" s="28">
        <v>6</v>
      </c>
      <c r="C25" s="26" t="s">
        <v>22</v>
      </c>
      <c r="D25" s="7"/>
      <c r="E25" s="8"/>
    </row>
    <row r="26" spans="1:6" x14ac:dyDescent="0.2">
      <c r="C26" s="9"/>
      <c r="D26" s="10"/>
      <c r="E26" s="1"/>
    </row>
    <row r="27" spans="1:6" x14ac:dyDescent="0.2">
      <c r="C27" s="11"/>
      <c r="D27" s="12"/>
      <c r="E27" s="1"/>
    </row>
    <row r="28" spans="1:6" x14ac:dyDescent="0.2">
      <c r="C28" s="1"/>
      <c r="D28" s="1"/>
      <c r="E28" s="1"/>
    </row>
    <row r="29" spans="1:6" ht="16" x14ac:dyDescent="0.2">
      <c r="A29" s="28">
        <v>7</v>
      </c>
      <c r="C29" s="27" t="s">
        <v>34</v>
      </c>
      <c r="D29" s="8"/>
      <c r="E29" s="1"/>
    </row>
    <row r="30" spans="1:6" x14ac:dyDescent="0.2">
      <c r="C30" s="9"/>
      <c r="D30" s="17"/>
      <c r="E30" s="1"/>
    </row>
    <row r="31" spans="1:6" x14ac:dyDescent="0.2">
      <c r="C31" s="11"/>
      <c r="D31" s="18"/>
      <c r="E31" s="1"/>
    </row>
    <row r="32" spans="1:6" x14ac:dyDescent="0.2">
      <c r="C32" s="1"/>
      <c r="D32" s="1"/>
      <c r="E32" s="1"/>
      <c r="F32" s="1"/>
    </row>
    <row r="33" spans="1:7" ht="16" x14ac:dyDescent="0.2">
      <c r="A33" s="28">
        <v>8</v>
      </c>
      <c r="C33" s="26" t="s">
        <v>19</v>
      </c>
      <c r="D33" s="7"/>
      <c r="E33" s="1"/>
      <c r="F33" s="1"/>
    </row>
    <row r="34" spans="1:7" x14ac:dyDescent="0.2">
      <c r="C34" s="9"/>
      <c r="D34" s="13"/>
      <c r="E34" s="1"/>
      <c r="F34" s="1"/>
    </row>
    <row r="35" spans="1:7" x14ac:dyDescent="0.2">
      <c r="C35" s="11"/>
      <c r="D35" s="14"/>
      <c r="E35" s="1"/>
      <c r="F35" s="1"/>
    </row>
    <row r="36" spans="1:7" x14ac:dyDescent="0.2">
      <c r="C36" s="1"/>
      <c r="D36" s="1"/>
      <c r="E36" s="1"/>
      <c r="F36" s="1"/>
    </row>
    <row r="37" spans="1:7" ht="16" x14ac:dyDescent="0.2">
      <c r="A37" s="28">
        <v>9</v>
      </c>
      <c r="C37" s="26" t="s">
        <v>17</v>
      </c>
      <c r="D37" s="7"/>
      <c r="F37" s="1"/>
    </row>
    <row r="38" spans="1:7" x14ac:dyDescent="0.2">
      <c r="C38" s="9"/>
      <c r="D38" s="13"/>
      <c r="F38" s="1"/>
    </row>
    <row r="39" spans="1:7" x14ac:dyDescent="0.2">
      <c r="C39" s="19"/>
      <c r="D39" s="14"/>
      <c r="F39" s="1"/>
    </row>
    <row r="40" spans="1:7" x14ac:dyDescent="0.2">
      <c r="C40" s="1"/>
      <c r="D40" s="1"/>
      <c r="E40" s="1"/>
      <c r="F40" s="1"/>
    </row>
    <row r="41" spans="1:7" ht="16" x14ac:dyDescent="0.2">
      <c r="A41" s="28">
        <v>10</v>
      </c>
      <c r="C41" s="26" t="s">
        <v>24</v>
      </c>
      <c r="D41" s="7"/>
      <c r="E41" s="1"/>
      <c r="F41" s="1"/>
    </row>
    <row r="42" spans="1:7" x14ac:dyDescent="0.2">
      <c r="C42" s="9"/>
      <c r="D42" s="13"/>
      <c r="E42" s="1"/>
      <c r="F42" s="1"/>
      <c r="G42" t="s">
        <v>29</v>
      </c>
    </row>
    <row r="43" spans="1:7" x14ac:dyDescent="0.2">
      <c r="C43" s="11"/>
      <c r="D43" s="14"/>
      <c r="E43" s="1"/>
      <c r="F43" s="1"/>
    </row>
    <row r="44" spans="1:7" x14ac:dyDescent="0.2">
      <c r="C44" s="1"/>
      <c r="D44" s="1"/>
      <c r="E44" s="1"/>
      <c r="F44" s="1"/>
    </row>
  </sheetData>
  <mergeCells count="1">
    <mergeCell ref="A3:I3"/>
  </mergeCells>
  <pageMargins left="0.7" right="0.7" top="0.75" bottom="0.75" header="0.3" footer="0.3"/>
  <pageSetup scale="8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S23"/>
  <sheetViews>
    <sheetView zoomScaleNormal="100" zoomScaleSheetLayoutView="90" workbookViewId="0">
      <selection activeCell="T4" sqref="T4"/>
    </sheetView>
  </sheetViews>
  <sheetFormatPr baseColWidth="10" defaultColWidth="8.83203125" defaultRowHeight="19" x14ac:dyDescent="0.25"/>
  <cols>
    <col min="1" max="21" width="13.83203125" style="33" customWidth="1"/>
    <col min="22" max="22" width="8.83203125" customWidth="1"/>
  </cols>
  <sheetData>
    <row r="1" spans="1:45" ht="34" customHeight="1" x14ac:dyDescent="0.2">
      <c r="A1" s="97" t="s">
        <v>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66"/>
      <c r="V1" s="47"/>
      <c r="W1" s="47"/>
      <c r="X1" s="47"/>
      <c r="Y1" s="47"/>
      <c r="Z1" s="47"/>
      <c r="AA1" s="47"/>
    </row>
    <row r="2" spans="1:45" ht="15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s="47"/>
      <c r="W2" s="47"/>
      <c r="X2" s="47"/>
      <c r="Y2" s="47"/>
      <c r="Z2" s="47"/>
      <c r="AA2" s="47"/>
    </row>
    <row r="3" spans="1:45" x14ac:dyDescent="0.25">
      <c r="A3" s="34"/>
      <c r="B3" s="100" t="s">
        <v>55</v>
      </c>
      <c r="C3" s="100"/>
      <c r="D3" s="100"/>
      <c r="E3" s="100"/>
      <c r="F3" s="100"/>
      <c r="G3" s="101"/>
      <c r="H3" s="53"/>
      <c r="I3" s="104" t="s">
        <v>15</v>
      </c>
      <c r="J3" s="104"/>
      <c r="K3" s="104"/>
      <c r="L3" s="104"/>
      <c r="M3" s="104"/>
      <c r="N3" s="105"/>
      <c r="O3" s="73"/>
      <c r="P3" s="106" t="s">
        <v>16</v>
      </c>
      <c r="Q3" s="106"/>
      <c r="R3" s="106"/>
      <c r="S3" s="106"/>
      <c r="T3" s="106"/>
      <c r="U3" s="107"/>
    </row>
    <row r="4" spans="1:45" ht="40" x14ac:dyDescent="0.25">
      <c r="A4" s="35"/>
      <c r="B4" s="75">
        <v>2022</v>
      </c>
      <c r="C4" s="75">
        <v>2021</v>
      </c>
      <c r="D4" s="75">
        <v>2020</v>
      </c>
      <c r="E4" s="75">
        <v>2019</v>
      </c>
      <c r="F4" s="76" t="s">
        <v>56</v>
      </c>
      <c r="G4" s="76" t="s">
        <v>54</v>
      </c>
      <c r="H4" s="37"/>
      <c r="I4" s="69">
        <v>2022</v>
      </c>
      <c r="J4" s="69">
        <v>2021</v>
      </c>
      <c r="K4" s="69">
        <v>2020</v>
      </c>
      <c r="L4" s="69">
        <v>2019</v>
      </c>
      <c r="M4" s="76" t="s">
        <v>56</v>
      </c>
      <c r="N4" s="76" t="s">
        <v>54</v>
      </c>
      <c r="O4" s="67"/>
      <c r="P4" s="69">
        <v>2022</v>
      </c>
      <c r="Q4" s="69">
        <v>2021</v>
      </c>
      <c r="R4" s="69">
        <v>2020</v>
      </c>
      <c r="S4" s="69">
        <v>2019</v>
      </c>
      <c r="T4" s="76" t="s">
        <v>56</v>
      </c>
      <c r="U4" s="76" t="s">
        <v>54</v>
      </c>
    </row>
    <row r="5" spans="1:45" x14ac:dyDescent="0.25">
      <c r="A5" s="49"/>
      <c r="B5" s="49"/>
      <c r="C5" s="77"/>
      <c r="D5" s="78"/>
      <c r="E5" s="78"/>
      <c r="F5" s="78"/>
      <c r="G5" s="78"/>
      <c r="H5" s="37"/>
      <c r="I5" s="54"/>
      <c r="J5" s="54"/>
      <c r="K5" s="54"/>
      <c r="L5" s="55"/>
      <c r="M5" s="54"/>
      <c r="N5" s="54"/>
      <c r="O5" s="37"/>
      <c r="P5" s="50"/>
      <c r="Q5" s="50"/>
      <c r="R5" s="50"/>
      <c r="S5" s="51"/>
      <c r="T5" s="50"/>
      <c r="U5" s="50"/>
    </row>
    <row r="6" spans="1:45" x14ac:dyDescent="0.25">
      <c r="A6" s="38" t="s">
        <v>3</v>
      </c>
      <c r="B6" s="79">
        <f>SUM(I6,P6)</f>
        <v>3959808</v>
      </c>
      <c r="C6" s="79">
        <f>SUM(J6,Q6)</f>
        <v>1717612</v>
      </c>
      <c r="D6" s="79">
        <f>SUM(K6,R6)</f>
        <v>6678451</v>
      </c>
      <c r="E6" s="79">
        <f>SUM(L6,S6)</f>
        <v>6766010</v>
      </c>
      <c r="F6" s="110">
        <f>B6/C6-1</f>
        <v>1.3054147269581255</v>
      </c>
      <c r="G6" s="110">
        <f>B6/E6-1</f>
        <v>-0.41474990430105774</v>
      </c>
      <c r="H6" s="40"/>
      <c r="I6" s="63">
        <v>3092543</v>
      </c>
      <c r="J6" s="63">
        <v>1378414</v>
      </c>
      <c r="K6" s="63">
        <v>4624732</v>
      </c>
      <c r="L6" s="63">
        <v>4685933</v>
      </c>
      <c r="M6" s="112">
        <f>I6/J6-1</f>
        <v>1.2435516470378274</v>
      </c>
      <c r="N6" s="112">
        <f>I6/L6-1</f>
        <v>-0.34003687205941702</v>
      </c>
      <c r="O6" s="37"/>
      <c r="P6" s="63">
        <v>867265</v>
      </c>
      <c r="Q6" s="63">
        <v>339198</v>
      </c>
      <c r="R6" s="63">
        <v>2053719</v>
      </c>
      <c r="S6" s="63">
        <v>2080077</v>
      </c>
      <c r="T6" s="112">
        <f>P6/Q6-1</f>
        <v>1.556810476476866</v>
      </c>
      <c r="U6" s="112">
        <f>P6/S6-1</f>
        <v>-0.5830611078339889</v>
      </c>
    </row>
    <row r="7" spans="1:45" x14ac:dyDescent="0.25">
      <c r="A7" s="49" t="s">
        <v>4</v>
      </c>
      <c r="B7" s="80">
        <f>SUM(I7,P7)</f>
        <v>4080905</v>
      </c>
      <c r="C7" s="80">
        <f>SUM(J7,Q7)</f>
        <v>1620270</v>
      </c>
      <c r="D7" s="80">
        <f>SUM(K7,R7)</f>
        <v>5821460</v>
      </c>
      <c r="E7" s="80">
        <f>SUM(L7,S7)</f>
        <v>6066401</v>
      </c>
      <c r="F7" s="111">
        <f t="shared" ref="F7:F8" si="0">B7/C7-1</f>
        <v>1.5186573842631166</v>
      </c>
      <c r="G7" s="111">
        <f t="shared" ref="G7:G8" si="1">B7/E7-1</f>
        <v>-0.32729389303476641</v>
      </c>
      <c r="H7" s="40"/>
      <c r="I7" s="64">
        <v>3336451</v>
      </c>
      <c r="J7" s="64">
        <v>1393881</v>
      </c>
      <c r="K7" s="64">
        <v>4260519</v>
      </c>
      <c r="L7" s="64">
        <v>4334938</v>
      </c>
      <c r="M7" s="113">
        <f t="shared" ref="M7:M18" si="2">I7/J7-1</f>
        <v>1.3936412075349329</v>
      </c>
      <c r="N7" s="113">
        <f t="shared" ref="N7:N18" si="3">I7/L7-1</f>
        <v>-0.23033478218142911</v>
      </c>
      <c r="O7" s="40"/>
      <c r="P7" s="65">
        <v>744454</v>
      </c>
      <c r="Q7" s="65">
        <v>226389</v>
      </c>
      <c r="R7" s="65">
        <v>1560941</v>
      </c>
      <c r="S7" s="65">
        <v>1731463</v>
      </c>
      <c r="T7" s="114">
        <f t="shared" ref="T7:T18" si="4">P7/Q7-1</f>
        <v>2.2883841529402931</v>
      </c>
      <c r="U7" s="114">
        <f t="shared" ref="U7:U18" si="5">P7/S7-1</f>
        <v>-0.5700433679495317</v>
      </c>
    </row>
    <row r="8" spans="1:45" x14ac:dyDescent="0.25">
      <c r="A8" s="41" t="s">
        <v>5</v>
      </c>
      <c r="B8" s="41"/>
      <c r="C8" s="79">
        <f>SUM(J8,Q8)</f>
        <v>2612885</v>
      </c>
      <c r="D8" s="79">
        <f>SUM(K8,R8)</f>
        <v>3287411</v>
      </c>
      <c r="E8" s="79">
        <f>SUM(L8,S8)</f>
        <v>7368798</v>
      </c>
      <c r="F8" s="110">
        <f t="shared" si="0"/>
        <v>-1</v>
      </c>
      <c r="G8" s="110">
        <f t="shared" si="1"/>
        <v>-1</v>
      </c>
      <c r="H8" s="40"/>
      <c r="I8" s="63"/>
      <c r="J8" s="63">
        <v>2266387</v>
      </c>
      <c r="K8" s="63">
        <v>2400532</v>
      </c>
      <c r="L8" s="63">
        <v>5322333</v>
      </c>
      <c r="M8" s="112">
        <f t="shared" si="2"/>
        <v>-1</v>
      </c>
      <c r="N8" s="112">
        <f t="shared" si="3"/>
        <v>-1</v>
      </c>
      <c r="O8" s="40"/>
      <c r="P8" s="63"/>
      <c r="Q8" s="63">
        <v>346498</v>
      </c>
      <c r="R8" s="63">
        <v>886879</v>
      </c>
      <c r="S8" s="63">
        <v>2046465</v>
      </c>
      <c r="T8" s="112">
        <f t="shared" si="4"/>
        <v>-1</v>
      </c>
      <c r="U8" s="112">
        <f t="shared" si="5"/>
        <v>-1</v>
      </c>
    </row>
    <row r="9" spans="1:45" x14ac:dyDescent="0.25">
      <c r="A9" s="49" t="s">
        <v>6</v>
      </c>
      <c r="B9" s="49"/>
      <c r="C9" s="80">
        <f>SUM(J9,Q9)</f>
        <v>3074936</v>
      </c>
      <c r="D9" s="80">
        <f>K9+R9</f>
        <v>299364</v>
      </c>
      <c r="E9" s="80">
        <f>SUM(L9,S9)</f>
        <v>7233370</v>
      </c>
      <c r="F9" s="111">
        <f t="shared" ref="F9:F17" si="6">B9/C9-1</f>
        <v>-1</v>
      </c>
      <c r="G9" s="111">
        <f t="shared" ref="G9:G17" si="7">B9/E9-1</f>
        <v>-1</v>
      </c>
      <c r="H9" s="40"/>
      <c r="I9" s="64"/>
      <c r="J9" s="64">
        <v>2650715</v>
      </c>
      <c r="K9" s="64">
        <v>240197</v>
      </c>
      <c r="L9" s="64">
        <v>5116096</v>
      </c>
      <c r="M9" s="113">
        <f t="shared" si="2"/>
        <v>-1</v>
      </c>
      <c r="N9" s="113">
        <f t="shared" si="3"/>
        <v>-1</v>
      </c>
      <c r="O9" s="40"/>
      <c r="P9" s="65"/>
      <c r="Q9" s="65">
        <v>424221</v>
      </c>
      <c r="R9" s="65">
        <v>59167</v>
      </c>
      <c r="S9" s="65">
        <v>2117274</v>
      </c>
      <c r="T9" s="114">
        <f t="shared" si="4"/>
        <v>-1</v>
      </c>
      <c r="U9" s="114">
        <f t="shared" si="5"/>
        <v>-1</v>
      </c>
    </row>
    <row r="10" spans="1:45" x14ac:dyDescent="0.25">
      <c r="A10" s="38" t="s">
        <v>7</v>
      </c>
      <c r="B10" s="38"/>
      <c r="C10" s="79">
        <f>SUM(J10,Q10)</f>
        <v>4054092</v>
      </c>
      <c r="D10" s="79">
        <f>SUM(K10,R10)</f>
        <v>575728</v>
      </c>
      <c r="E10" s="79">
        <f>SUM(L10,S10)</f>
        <v>7613449</v>
      </c>
      <c r="F10" s="110">
        <f t="shared" si="6"/>
        <v>-1</v>
      </c>
      <c r="G10" s="110">
        <f t="shared" si="7"/>
        <v>-1</v>
      </c>
      <c r="H10" s="40"/>
      <c r="I10" s="63"/>
      <c r="J10" s="63">
        <v>3457046</v>
      </c>
      <c r="K10" s="63">
        <v>510349</v>
      </c>
      <c r="L10" s="63">
        <v>5413746</v>
      </c>
      <c r="M10" s="112">
        <f t="shared" si="2"/>
        <v>-1</v>
      </c>
      <c r="N10" s="112">
        <f t="shared" si="3"/>
        <v>-1</v>
      </c>
      <c r="O10" s="40"/>
      <c r="P10" s="63"/>
      <c r="Q10" s="63">
        <v>597046</v>
      </c>
      <c r="R10" s="63">
        <v>65379</v>
      </c>
      <c r="S10" s="63">
        <v>2199703</v>
      </c>
      <c r="T10" s="112">
        <f t="shared" si="4"/>
        <v>-1</v>
      </c>
      <c r="U10" s="112">
        <f t="shared" si="5"/>
        <v>-1</v>
      </c>
    </row>
    <row r="11" spans="1:45" x14ac:dyDescent="0.25">
      <c r="A11" s="49" t="s">
        <v>8</v>
      </c>
      <c r="B11" s="49"/>
      <c r="C11" s="80">
        <f>SUM(J11,Q11)</f>
        <v>4887694</v>
      </c>
      <c r="D11" s="80">
        <v>1033861</v>
      </c>
      <c r="E11" s="80">
        <f t="shared" ref="E11" si="8">SUM(L11,S11)</f>
        <v>8035567</v>
      </c>
      <c r="F11" s="111">
        <f t="shared" si="6"/>
        <v>-1</v>
      </c>
      <c r="G11" s="111">
        <f t="shared" si="7"/>
        <v>-1</v>
      </c>
      <c r="H11" s="40"/>
      <c r="I11" s="64"/>
      <c r="J11" s="64">
        <v>4126205</v>
      </c>
      <c r="K11" s="64">
        <v>905183</v>
      </c>
      <c r="L11" s="64">
        <v>5672492</v>
      </c>
      <c r="M11" s="113">
        <f t="shared" si="2"/>
        <v>-1</v>
      </c>
      <c r="N11" s="113">
        <f t="shared" si="3"/>
        <v>-1</v>
      </c>
      <c r="O11" s="40"/>
      <c r="P11" s="65"/>
      <c r="Q11" s="65">
        <v>761489</v>
      </c>
      <c r="R11" s="65">
        <v>128678</v>
      </c>
      <c r="S11" s="65">
        <v>2363075</v>
      </c>
      <c r="T11" s="114">
        <f t="shared" si="4"/>
        <v>-1</v>
      </c>
      <c r="U11" s="114">
        <f t="shared" si="5"/>
        <v>-1</v>
      </c>
    </row>
    <row r="12" spans="1:45" x14ac:dyDescent="0.25">
      <c r="A12" s="38" t="s">
        <v>9</v>
      </c>
      <c r="B12" s="38"/>
      <c r="C12" s="79">
        <f>SUM(J12,Q12)</f>
        <v>5561739</v>
      </c>
      <c r="D12" s="79">
        <f>SUM(K12,R12)</f>
        <v>1523462</v>
      </c>
      <c r="E12" s="79">
        <f>SUM(L12,S12)</f>
        <v>8469815</v>
      </c>
      <c r="F12" s="110">
        <f t="shared" si="6"/>
        <v>-1</v>
      </c>
      <c r="G12" s="110">
        <f t="shared" si="7"/>
        <v>-1</v>
      </c>
      <c r="H12" s="40"/>
      <c r="I12" s="63"/>
      <c r="J12" s="63">
        <v>4637866</v>
      </c>
      <c r="K12" s="63">
        <v>1331681</v>
      </c>
      <c r="L12" s="63">
        <v>5933926</v>
      </c>
      <c r="M12" s="112">
        <f t="shared" si="2"/>
        <v>-1</v>
      </c>
      <c r="N12" s="112">
        <f t="shared" si="3"/>
        <v>-1</v>
      </c>
      <c r="O12" s="40"/>
      <c r="P12" s="63"/>
      <c r="Q12" s="63">
        <v>923873</v>
      </c>
      <c r="R12" s="63">
        <v>191781</v>
      </c>
      <c r="S12" s="63">
        <v>2535889</v>
      </c>
      <c r="T12" s="112">
        <f t="shared" si="4"/>
        <v>-1</v>
      </c>
      <c r="U12" s="112">
        <f t="shared" si="5"/>
        <v>-1</v>
      </c>
    </row>
    <row r="13" spans="1:45" x14ac:dyDescent="0.25">
      <c r="A13" s="49" t="s">
        <v>10</v>
      </c>
      <c r="B13" s="49"/>
      <c r="C13" s="80">
        <f>SUM(J13,Q13)</f>
        <v>5135209</v>
      </c>
      <c r="D13" s="80">
        <f>SUM(K13,R13)</f>
        <v>1707500</v>
      </c>
      <c r="E13" s="80">
        <f t="shared" ref="E13:E15" si="9">SUM(L13,S13)</f>
        <v>8136876</v>
      </c>
      <c r="F13" s="111">
        <f t="shared" si="6"/>
        <v>-1</v>
      </c>
      <c r="G13" s="111">
        <f t="shared" si="7"/>
        <v>-1</v>
      </c>
      <c r="H13" s="40"/>
      <c r="I13" s="64"/>
      <c r="J13" s="64">
        <v>4216499</v>
      </c>
      <c r="K13" s="64">
        <v>1485013</v>
      </c>
      <c r="L13" s="64">
        <v>5708830</v>
      </c>
      <c r="M13" s="113">
        <f t="shared" si="2"/>
        <v>-1</v>
      </c>
      <c r="N13" s="113">
        <f t="shared" si="3"/>
        <v>-1</v>
      </c>
      <c r="O13" s="40"/>
      <c r="P13" s="65"/>
      <c r="Q13" s="65">
        <v>918710</v>
      </c>
      <c r="R13" s="65">
        <v>222487</v>
      </c>
      <c r="S13" s="65">
        <v>2428046</v>
      </c>
      <c r="T13" s="114">
        <f t="shared" si="4"/>
        <v>-1</v>
      </c>
      <c r="U13" s="114">
        <f t="shared" si="5"/>
        <v>-1</v>
      </c>
    </row>
    <row r="14" spans="1:45" s="47" customFormat="1" x14ac:dyDescent="0.25">
      <c r="A14" s="43" t="s">
        <v>11</v>
      </c>
      <c r="B14" s="43"/>
      <c r="C14" s="79">
        <f>SUM(J14,Q14)</f>
        <v>4372077</v>
      </c>
      <c r="D14" s="79">
        <f>SUM(K14,R14)</f>
        <v>1749360</v>
      </c>
      <c r="E14" s="79">
        <f t="shared" si="9"/>
        <v>7007176</v>
      </c>
      <c r="F14" s="110">
        <f t="shared" si="6"/>
        <v>-1</v>
      </c>
      <c r="G14" s="110">
        <f t="shared" si="7"/>
        <v>-1</v>
      </c>
      <c r="H14" s="40"/>
      <c r="I14" s="63"/>
      <c r="J14" s="63">
        <v>3640890</v>
      </c>
      <c r="K14" s="63">
        <v>1500678</v>
      </c>
      <c r="L14" s="63">
        <v>4900354</v>
      </c>
      <c r="M14" s="112">
        <f t="shared" si="2"/>
        <v>-1</v>
      </c>
      <c r="N14" s="112">
        <f t="shared" si="3"/>
        <v>-1</v>
      </c>
      <c r="O14" s="46"/>
      <c r="P14" s="63"/>
      <c r="Q14" s="63">
        <v>731187</v>
      </c>
      <c r="R14" s="63">
        <v>248682</v>
      </c>
      <c r="S14" s="63">
        <v>2106822</v>
      </c>
      <c r="T14" s="112">
        <f t="shared" si="4"/>
        <v>-1</v>
      </c>
      <c r="U14" s="112">
        <f t="shared" si="5"/>
        <v>-1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s="6" customFormat="1" x14ac:dyDescent="0.25">
      <c r="A15" s="49" t="s">
        <v>12</v>
      </c>
      <c r="B15" s="49"/>
      <c r="C15" s="80">
        <f>SUM(J15,Q15)</f>
        <v>4847613</v>
      </c>
      <c r="D15" s="80">
        <f>SUM(K15,R15)</f>
        <v>2088438</v>
      </c>
      <c r="E15" s="80">
        <f t="shared" si="9"/>
        <v>7194836</v>
      </c>
      <c r="F15" s="111">
        <f t="shared" si="6"/>
        <v>-1</v>
      </c>
      <c r="G15" s="111">
        <f t="shared" si="7"/>
        <v>-1</v>
      </c>
      <c r="H15" s="40"/>
      <c r="I15" s="64"/>
      <c r="J15" s="64">
        <v>4081995</v>
      </c>
      <c r="K15" s="64">
        <v>1783387</v>
      </c>
      <c r="L15" s="64">
        <v>5111163</v>
      </c>
      <c r="M15" s="113">
        <f t="shared" si="2"/>
        <v>-1</v>
      </c>
      <c r="N15" s="113">
        <f t="shared" si="3"/>
        <v>-1</v>
      </c>
      <c r="O15" s="40"/>
      <c r="P15" s="65"/>
      <c r="Q15" s="65">
        <v>765618</v>
      </c>
      <c r="R15" s="65">
        <v>305051</v>
      </c>
      <c r="S15" s="65">
        <v>2083673</v>
      </c>
      <c r="T15" s="114">
        <f t="shared" si="4"/>
        <v>-1</v>
      </c>
      <c r="U15" s="114">
        <f t="shared" si="5"/>
        <v>-1</v>
      </c>
    </row>
    <row r="16" spans="1:45" x14ac:dyDescent="0.25">
      <c r="A16" s="41" t="s">
        <v>13</v>
      </c>
      <c r="B16" s="41"/>
      <c r="C16" s="79">
        <f>SUM(J16,Q16)</f>
        <v>4928299</v>
      </c>
      <c r="D16" s="79">
        <f>SUM(K16,R16)</f>
        <v>2038082</v>
      </c>
      <c r="E16" s="79">
        <f t="shared" ref="E16" si="10">SUM(L16,S16)</f>
        <v>6731520</v>
      </c>
      <c r="F16" s="110">
        <f t="shared" si="6"/>
        <v>-1</v>
      </c>
      <c r="G16" s="110">
        <f t="shared" si="7"/>
        <v>-1</v>
      </c>
      <c r="H16" s="40"/>
      <c r="I16" s="63"/>
      <c r="J16" s="63">
        <v>4051018</v>
      </c>
      <c r="K16" s="63">
        <v>1703020</v>
      </c>
      <c r="L16" s="63">
        <v>4846896</v>
      </c>
      <c r="M16" s="112">
        <f t="shared" si="2"/>
        <v>-1</v>
      </c>
      <c r="N16" s="112">
        <f t="shared" si="3"/>
        <v>-1</v>
      </c>
      <c r="O16" s="40"/>
      <c r="P16" s="63"/>
      <c r="Q16" s="63">
        <v>877281</v>
      </c>
      <c r="R16" s="63">
        <v>335062</v>
      </c>
      <c r="S16" s="63">
        <v>1884624</v>
      </c>
      <c r="T16" s="112">
        <f t="shared" si="4"/>
        <v>-1</v>
      </c>
      <c r="U16" s="112">
        <f t="shared" si="5"/>
        <v>-1</v>
      </c>
    </row>
    <row r="17" spans="1:21" x14ac:dyDescent="0.25">
      <c r="A17" s="49" t="s">
        <v>14</v>
      </c>
      <c r="B17" s="49"/>
      <c r="C17" s="80">
        <f>SUM(J17,Q17)</f>
        <v>5194886</v>
      </c>
      <c r="D17" s="80">
        <f>SUM(K17,R17)</f>
        <v>1976284</v>
      </c>
      <c r="E17" s="80">
        <f>SUM(L17,S17)</f>
        <v>7478418</v>
      </c>
      <c r="F17" s="111">
        <f t="shared" si="6"/>
        <v>-1</v>
      </c>
      <c r="G17" s="111">
        <f t="shared" si="7"/>
        <v>-1</v>
      </c>
      <c r="H17" s="40"/>
      <c r="I17" s="64"/>
      <c r="J17" s="64">
        <v>4141099</v>
      </c>
      <c r="K17" s="64">
        <v>1612442</v>
      </c>
      <c r="L17" s="64">
        <v>5358957</v>
      </c>
      <c r="M17" s="113">
        <f t="shared" si="2"/>
        <v>-1</v>
      </c>
      <c r="N17" s="113">
        <f t="shared" si="3"/>
        <v>-1</v>
      </c>
      <c r="O17" s="40"/>
      <c r="P17" s="65"/>
      <c r="Q17" s="65">
        <v>1053787</v>
      </c>
      <c r="R17" s="65">
        <v>363842</v>
      </c>
      <c r="S17" s="65">
        <v>2119461</v>
      </c>
      <c r="T17" s="114">
        <f t="shared" si="4"/>
        <v>-1</v>
      </c>
      <c r="U17" s="114">
        <f t="shared" si="5"/>
        <v>-1</v>
      </c>
    </row>
    <row r="18" spans="1:21" x14ac:dyDescent="0.25">
      <c r="A18" s="38" t="s">
        <v>35</v>
      </c>
      <c r="B18" s="81">
        <f>SUM(B6:B7)</f>
        <v>8040713</v>
      </c>
      <c r="C18" s="81">
        <f>SUM(C6:C7)</f>
        <v>3337882</v>
      </c>
      <c r="D18" s="81">
        <f t="shared" ref="D18:E18" si="11">SUM(D6:D7)</f>
        <v>12499911</v>
      </c>
      <c r="E18" s="81">
        <f t="shared" si="11"/>
        <v>12832411</v>
      </c>
      <c r="F18" s="110">
        <f t="shared" ref="F18" si="12">B18/C18-1</f>
        <v>1.4089266786543084</v>
      </c>
      <c r="G18" s="110">
        <f t="shared" ref="G18" si="13">B18/E18-1</f>
        <v>-0.37340590166571197</v>
      </c>
      <c r="H18" s="40"/>
      <c r="I18" s="81">
        <f>SUM(I6:I7)</f>
        <v>6428994</v>
      </c>
      <c r="J18" s="81">
        <f>SUM(J6:J7)</f>
        <v>2772295</v>
      </c>
      <c r="K18" s="81">
        <f t="shared" ref="K18:L18" si="14">SUM(K6:K7)</f>
        <v>8885251</v>
      </c>
      <c r="L18" s="81">
        <f t="shared" si="14"/>
        <v>9020871</v>
      </c>
      <c r="M18" s="110">
        <f>I18/J18-1</f>
        <v>1.3190151120281213</v>
      </c>
      <c r="N18" s="110">
        <f>I18/L18-1</f>
        <v>-0.28732003816482909</v>
      </c>
      <c r="O18" s="40"/>
      <c r="P18" s="81">
        <f>SUM(P6:P7)</f>
        <v>1611719</v>
      </c>
      <c r="Q18" s="81">
        <f>SUM(Q6:Q7)</f>
        <v>565587</v>
      </c>
      <c r="R18" s="81">
        <f t="shared" ref="R18:S18" si="15">SUM(R6:R7)</f>
        <v>3614660</v>
      </c>
      <c r="S18" s="81">
        <f t="shared" si="15"/>
        <v>3811540</v>
      </c>
      <c r="T18" s="110">
        <f>P18/Q18-1</f>
        <v>1.8496394011884996</v>
      </c>
      <c r="U18" s="110">
        <f t="shared" si="5"/>
        <v>-0.57714755715537547</v>
      </c>
    </row>
    <row r="19" spans="1:21" x14ac:dyDescent="0.25">
      <c r="A19" s="37"/>
      <c r="B19" s="37"/>
      <c r="C19" s="37"/>
      <c r="D19" s="37"/>
      <c r="H19" s="40"/>
      <c r="I19" s="40"/>
      <c r="J19" s="40"/>
    </row>
    <row r="20" spans="1:21" x14ac:dyDescent="0.25">
      <c r="A20" s="42" t="s">
        <v>38</v>
      </c>
      <c r="B20" s="42"/>
      <c r="C20" s="42"/>
      <c r="D20" s="56"/>
      <c r="L20" s="39"/>
      <c r="M20" s="39"/>
      <c r="R20" s="39"/>
      <c r="S20" s="39"/>
    </row>
    <row r="21" spans="1:21" x14ac:dyDescent="0.25">
      <c r="A21" s="2" t="s">
        <v>49</v>
      </c>
      <c r="B21" s="2"/>
      <c r="C21" s="2"/>
      <c r="R21" s="39"/>
      <c r="S21" s="48"/>
    </row>
    <row r="23" spans="1:21" x14ac:dyDescent="0.25">
      <c r="D23" s="29"/>
      <c r="E23" s="29"/>
      <c r="F23" s="29"/>
      <c r="G23" s="29"/>
    </row>
  </sheetData>
  <mergeCells count="4">
    <mergeCell ref="A1:T1"/>
    <mergeCell ref="B3:G3"/>
    <mergeCell ref="I3:N3"/>
    <mergeCell ref="P3:U3"/>
  </mergeCells>
  <phoneticPr fontId="17" type="noConversion"/>
  <pageMargins left="0.7" right="0.7" top="0.75" bottom="0.75" header="0.3" footer="0.3"/>
  <pageSetup scale="49" orientation="portrait" r:id="rId1"/>
  <ignoredErrors>
    <ignoredError sqref="D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W23"/>
  <sheetViews>
    <sheetView topLeftCell="A6" zoomScaleNormal="100" zoomScaleSheetLayoutView="90" workbookViewId="0">
      <selection activeCell="M4" sqref="M4"/>
    </sheetView>
  </sheetViews>
  <sheetFormatPr baseColWidth="10" defaultColWidth="9.1640625" defaultRowHeight="19" x14ac:dyDescent="0.25"/>
  <cols>
    <col min="1" max="12" width="13.83203125" style="33" customWidth="1"/>
    <col min="13" max="14" width="13.83203125" style="83" customWidth="1"/>
    <col min="15" max="19" width="13.83203125" style="33" customWidth="1"/>
    <col min="20" max="23" width="9.1640625" style="33" customWidth="1"/>
    <col min="24" max="16384" width="9.1640625" style="33"/>
  </cols>
  <sheetData>
    <row r="1" spans="1:23" s="44" customFormat="1" ht="31" customHeight="1" x14ac:dyDescent="0.25">
      <c r="A1" s="97" t="s">
        <v>17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33"/>
      <c r="T1" s="4"/>
      <c r="U1" s="4"/>
      <c r="V1" s="4"/>
      <c r="W1" s="4"/>
    </row>
    <row r="2" spans="1:23" s="44" customFormat="1" x14ac:dyDescent="0.25">
      <c r="A2"/>
      <c r="B2"/>
      <c r="C2"/>
      <c r="D2"/>
      <c r="E2"/>
      <c r="F2"/>
      <c r="G2"/>
      <c r="H2"/>
      <c r="I2"/>
      <c r="J2"/>
      <c r="K2"/>
      <c r="L2"/>
      <c r="M2" s="74"/>
      <c r="N2" s="74"/>
      <c r="O2"/>
      <c r="P2"/>
      <c r="Q2"/>
      <c r="R2"/>
      <c r="S2"/>
      <c r="T2" s="3"/>
      <c r="U2" s="3"/>
      <c r="V2" s="3"/>
      <c r="W2" s="3"/>
    </row>
    <row r="3" spans="1:23" x14ac:dyDescent="0.25">
      <c r="A3" s="34"/>
      <c r="B3" s="100" t="s">
        <v>47</v>
      </c>
      <c r="C3" s="100"/>
      <c r="D3" s="100"/>
      <c r="E3" s="100"/>
      <c r="F3" s="100"/>
      <c r="G3" s="101"/>
      <c r="H3" s="53"/>
      <c r="I3" s="104" t="s">
        <v>15</v>
      </c>
      <c r="J3" s="104"/>
      <c r="K3" s="104"/>
      <c r="L3" s="104"/>
      <c r="M3" s="104"/>
      <c r="N3" s="105"/>
      <c r="O3" s="52"/>
      <c r="P3" s="98" t="s">
        <v>16</v>
      </c>
      <c r="Q3" s="98"/>
      <c r="R3" s="98"/>
    </row>
    <row r="4" spans="1:23" customFormat="1" ht="40" x14ac:dyDescent="0.25">
      <c r="A4" s="35"/>
      <c r="B4" s="75">
        <v>2022</v>
      </c>
      <c r="C4" s="75">
        <v>2021</v>
      </c>
      <c r="D4" s="75">
        <v>2020</v>
      </c>
      <c r="E4" s="75">
        <v>2019</v>
      </c>
      <c r="F4" s="76" t="s">
        <v>56</v>
      </c>
      <c r="G4" s="76" t="s">
        <v>54</v>
      </c>
      <c r="H4" s="37"/>
      <c r="I4" s="69">
        <v>2022</v>
      </c>
      <c r="J4" s="69">
        <v>2021</v>
      </c>
      <c r="K4" s="69">
        <v>2020</v>
      </c>
      <c r="L4" s="69">
        <v>2019</v>
      </c>
      <c r="M4" s="76" t="s">
        <v>56</v>
      </c>
      <c r="N4" s="76" t="s">
        <v>54</v>
      </c>
      <c r="O4" s="37"/>
      <c r="P4" s="36"/>
      <c r="Q4" s="36"/>
      <c r="R4" s="36"/>
    </row>
    <row r="5" spans="1:23" x14ac:dyDescent="0.25">
      <c r="A5" s="49"/>
      <c r="B5" s="49"/>
      <c r="C5" s="77"/>
      <c r="D5" s="78"/>
      <c r="E5" s="78"/>
      <c r="F5" s="78"/>
      <c r="G5" s="78"/>
      <c r="H5" s="37"/>
      <c r="I5" s="54"/>
      <c r="J5" s="54"/>
      <c r="K5" s="54"/>
      <c r="L5" s="55"/>
      <c r="M5" s="87"/>
      <c r="N5" s="87"/>
      <c r="O5" s="37"/>
      <c r="P5" s="57"/>
      <c r="Q5" s="58"/>
      <c r="R5" s="57"/>
    </row>
    <row r="6" spans="1:23" x14ac:dyDescent="0.25">
      <c r="A6" s="38" t="s">
        <v>3</v>
      </c>
      <c r="B6" s="63">
        <v>318193</v>
      </c>
      <c r="C6" s="63">
        <v>68643</v>
      </c>
      <c r="D6" s="79">
        <f t="shared" ref="D6:E8" si="0">SUM(K6,P6)</f>
        <v>480876</v>
      </c>
      <c r="E6" s="79">
        <f t="shared" si="0"/>
        <v>402529</v>
      </c>
      <c r="F6" s="110">
        <f>B6/C6-1</f>
        <v>3.6354763049400525</v>
      </c>
      <c r="G6" s="110">
        <f>B6/E6-1</f>
        <v>-0.20951533926748134</v>
      </c>
      <c r="H6" s="40"/>
      <c r="I6" s="63">
        <v>318193</v>
      </c>
      <c r="J6" s="63">
        <v>68643</v>
      </c>
      <c r="K6" s="63">
        <v>480876</v>
      </c>
      <c r="L6" s="63">
        <v>402529</v>
      </c>
      <c r="M6" s="112">
        <f>I6/J6-1</f>
        <v>3.6354763049400525</v>
      </c>
      <c r="N6" s="112">
        <f>I6/L6-1</f>
        <v>-0.20951533926748134</v>
      </c>
      <c r="O6" s="37"/>
      <c r="P6" s="59"/>
      <c r="Q6" s="59"/>
      <c r="R6" s="60"/>
    </row>
    <row r="7" spans="1:23" x14ac:dyDescent="0.25">
      <c r="A7" s="49" t="s">
        <v>4</v>
      </c>
      <c r="B7" s="80">
        <v>371889</v>
      </c>
      <c r="C7" s="80">
        <v>73316</v>
      </c>
      <c r="D7" s="80">
        <f t="shared" si="0"/>
        <v>456545</v>
      </c>
      <c r="E7" s="80">
        <f t="shared" si="0"/>
        <v>368039</v>
      </c>
      <c r="F7" s="111">
        <f t="shared" ref="F7:F18" si="1">B7/C7-1</f>
        <v>4.072412570243876</v>
      </c>
      <c r="G7" s="111">
        <f t="shared" ref="G7:G18" si="2">B7/E7-1</f>
        <v>1.0460847899271597E-2</v>
      </c>
      <c r="H7" s="40"/>
      <c r="I7" s="64">
        <v>371889</v>
      </c>
      <c r="J7" s="64">
        <v>73316</v>
      </c>
      <c r="K7" s="64">
        <v>456545</v>
      </c>
      <c r="L7" s="64">
        <v>368039</v>
      </c>
      <c r="M7" s="113">
        <f t="shared" ref="M7:M18" si="3">I7/J7-1</f>
        <v>4.072412570243876</v>
      </c>
      <c r="N7" s="113">
        <f t="shared" ref="N7:N18" si="4">I7/L7-1</f>
        <v>1.0460847899271597E-2</v>
      </c>
      <c r="O7" s="40"/>
      <c r="P7" s="61"/>
      <c r="Q7" s="61"/>
      <c r="R7" s="60"/>
    </row>
    <row r="8" spans="1:23" x14ac:dyDescent="0.25">
      <c r="A8" s="41" t="s">
        <v>5</v>
      </c>
      <c r="B8" s="41"/>
      <c r="C8" s="63">
        <v>137317</v>
      </c>
      <c r="D8" s="79">
        <f t="shared" si="0"/>
        <v>206708</v>
      </c>
      <c r="E8" s="79">
        <f t="shared" si="0"/>
        <v>459829</v>
      </c>
      <c r="F8" s="110">
        <f t="shared" si="1"/>
        <v>-1</v>
      </c>
      <c r="G8" s="110">
        <f t="shared" si="2"/>
        <v>-1</v>
      </c>
      <c r="H8" s="40"/>
      <c r="I8" s="63"/>
      <c r="J8" s="63">
        <v>137317</v>
      </c>
      <c r="K8" s="63">
        <v>206708</v>
      </c>
      <c r="L8" s="63">
        <v>459829</v>
      </c>
      <c r="M8" s="112">
        <f t="shared" si="3"/>
        <v>-1</v>
      </c>
      <c r="N8" s="112">
        <f t="shared" si="4"/>
        <v>-1</v>
      </c>
      <c r="O8" s="40"/>
      <c r="P8" s="62"/>
      <c r="Q8" s="62"/>
      <c r="R8" s="60"/>
    </row>
    <row r="9" spans="1:23" x14ac:dyDescent="0.25">
      <c r="A9" s="49" t="s">
        <v>6</v>
      </c>
      <c r="B9" s="49"/>
      <c r="C9" s="80">
        <v>73316</v>
      </c>
      <c r="D9" s="80">
        <f>K9</f>
        <v>14042</v>
      </c>
      <c r="E9" s="80">
        <f>SUM(L9,Q9)</f>
        <v>486027</v>
      </c>
      <c r="F9" s="111">
        <f t="shared" si="1"/>
        <v>-1</v>
      </c>
      <c r="G9" s="111">
        <f t="shared" si="2"/>
        <v>-1</v>
      </c>
      <c r="H9" s="40"/>
      <c r="I9" s="64"/>
      <c r="J9" s="64">
        <v>171591</v>
      </c>
      <c r="K9" s="64">
        <v>14042</v>
      </c>
      <c r="L9" s="64">
        <v>486027</v>
      </c>
      <c r="M9" s="113">
        <f t="shared" si="3"/>
        <v>-1</v>
      </c>
      <c r="N9" s="113">
        <f t="shared" si="4"/>
        <v>-1</v>
      </c>
      <c r="O9" s="40"/>
      <c r="P9" s="61"/>
      <c r="Q9" s="61"/>
      <c r="R9" s="60"/>
    </row>
    <row r="10" spans="1:23" x14ac:dyDescent="0.25">
      <c r="A10" s="38" t="s">
        <v>7</v>
      </c>
      <c r="B10" s="38"/>
      <c r="C10" s="63">
        <v>245844</v>
      </c>
      <c r="D10" s="79">
        <f>SUM(K10,P10)</f>
        <v>39330</v>
      </c>
      <c r="E10" s="79">
        <v>499290</v>
      </c>
      <c r="F10" s="110">
        <f t="shared" si="1"/>
        <v>-1</v>
      </c>
      <c r="G10" s="110">
        <f t="shared" si="2"/>
        <v>-1</v>
      </c>
      <c r="H10" s="40"/>
      <c r="I10" s="63"/>
      <c r="J10" s="63">
        <v>245844</v>
      </c>
      <c r="K10" s="63">
        <v>39330</v>
      </c>
      <c r="L10" s="63">
        <v>499289</v>
      </c>
      <c r="M10" s="112">
        <f t="shared" si="3"/>
        <v>-1</v>
      </c>
      <c r="N10" s="112">
        <f t="shared" si="4"/>
        <v>-1</v>
      </c>
      <c r="O10" s="40"/>
      <c r="P10" s="62"/>
      <c r="Q10" s="62"/>
      <c r="R10" s="60"/>
    </row>
    <row r="11" spans="1:23" x14ac:dyDescent="0.25">
      <c r="A11" s="49" t="s">
        <v>8</v>
      </c>
      <c r="B11" s="49"/>
      <c r="C11" s="80">
        <v>359104</v>
      </c>
      <c r="D11" s="80">
        <v>94891</v>
      </c>
      <c r="E11" s="80">
        <f>SUM(L11,Q11)</f>
        <v>520215</v>
      </c>
      <c r="F11" s="111">
        <f t="shared" si="1"/>
        <v>-1</v>
      </c>
      <c r="G11" s="111">
        <f t="shared" si="2"/>
        <v>-1</v>
      </c>
      <c r="H11" s="40"/>
      <c r="I11" s="64"/>
      <c r="J11" s="64">
        <v>359104</v>
      </c>
      <c r="K11" s="64">
        <v>94891</v>
      </c>
      <c r="L11" s="64">
        <v>520215</v>
      </c>
      <c r="M11" s="113">
        <f t="shared" si="3"/>
        <v>-1</v>
      </c>
      <c r="N11" s="113">
        <f t="shared" si="4"/>
        <v>-1</v>
      </c>
      <c r="O11" s="40"/>
      <c r="P11" s="61"/>
      <c r="Q11" s="61"/>
      <c r="R11" s="60"/>
    </row>
    <row r="12" spans="1:23" x14ac:dyDescent="0.25">
      <c r="A12" s="38" t="s">
        <v>9</v>
      </c>
      <c r="B12" s="38"/>
      <c r="C12" s="63">
        <v>439131</v>
      </c>
      <c r="D12" s="79">
        <v>110548</v>
      </c>
      <c r="E12" s="79">
        <v>541943</v>
      </c>
      <c r="F12" s="110">
        <f t="shared" si="1"/>
        <v>-1</v>
      </c>
      <c r="G12" s="110">
        <f t="shared" si="2"/>
        <v>-1</v>
      </c>
      <c r="H12" s="40"/>
      <c r="I12" s="63"/>
      <c r="J12" s="63">
        <v>439131</v>
      </c>
      <c r="K12" s="63">
        <v>110548</v>
      </c>
      <c r="L12" s="63">
        <v>541942</v>
      </c>
      <c r="M12" s="112">
        <f t="shared" si="3"/>
        <v>-1</v>
      </c>
      <c r="N12" s="112">
        <f t="shared" si="4"/>
        <v>-1</v>
      </c>
      <c r="O12" s="40"/>
      <c r="P12" s="62"/>
      <c r="Q12" s="62"/>
      <c r="R12" s="60"/>
    </row>
    <row r="13" spans="1:23" x14ac:dyDescent="0.25">
      <c r="A13" s="49" t="s">
        <v>10</v>
      </c>
      <c r="B13" s="49"/>
      <c r="C13" s="80">
        <v>415304</v>
      </c>
      <c r="D13" s="80">
        <v>120577</v>
      </c>
      <c r="E13" s="80">
        <f>SUM(L13,Q13)</f>
        <v>556491</v>
      </c>
      <c r="F13" s="111">
        <f t="shared" si="1"/>
        <v>-1</v>
      </c>
      <c r="G13" s="111">
        <f t="shared" si="2"/>
        <v>-1</v>
      </c>
      <c r="H13" s="40"/>
      <c r="I13" s="64"/>
      <c r="J13" s="64">
        <v>415304</v>
      </c>
      <c r="K13" s="64">
        <v>120577</v>
      </c>
      <c r="L13" s="64">
        <v>556491</v>
      </c>
      <c r="M13" s="113">
        <f t="shared" si="3"/>
        <v>-1</v>
      </c>
      <c r="N13" s="113">
        <f t="shared" si="4"/>
        <v>-1</v>
      </c>
      <c r="O13" s="40"/>
      <c r="P13" s="61"/>
      <c r="Q13" s="61"/>
      <c r="R13" s="60"/>
    </row>
    <row r="14" spans="1:23" x14ac:dyDescent="0.25">
      <c r="A14" s="43" t="s">
        <v>11</v>
      </c>
      <c r="B14" s="43"/>
      <c r="C14" s="63">
        <v>406757</v>
      </c>
      <c r="D14" s="79">
        <v>123417</v>
      </c>
      <c r="E14" s="79">
        <f>SUM(L14,Q14)</f>
        <v>518033</v>
      </c>
      <c r="F14" s="110">
        <f t="shared" si="1"/>
        <v>-1</v>
      </c>
      <c r="G14" s="110">
        <f t="shared" si="2"/>
        <v>-1</v>
      </c>
      <c r="H14" s="40"/>
      <c r="I14" s="63"/>
      <c r="J14" s="63">
        <v>406757</v>
      </c>
      <c r="K14" s="63">
        <v>123417</v>
      </c>
      <c r="L14" s="63">
        <v>518033</v>
      </c>
      <c r="M14" s="112">
        <f t="shared" si="3"/>
        <v>-1</v>
      </c>
      <c r="N14" s="112">
        <f t="shared" si="4"/>
        <v>-1</v>
      </c>
      <c r="O14" s="46"/>
      <c r="P14" s="62"/>
      <c r="Q14" s="62"/>
      <c r="R14" s="60"/>
    </row>
    <row r="15" spans="1:23" x14ac:dyDescent="0.25">
      <c r="A15" s="49" t="s">
        <v>12</v>
      </c>
      <c r="B15" s="49"/>
      <c r="C15" s="80">
        <v>462454</v>
      </c>
      <c r="D15" s="80">
        <v>134856</v>
      </c>
      <c r="E15" s="80">
        <f>SUM(L15,Q15)</f>
        <v>551544</v>
      </c>
      <c r="F15" s="111">
        <f t="shared" si="1"/>
        <v>-1</v>
      </c>
      <c r="G15" s="111">
        <f t="shared" si="2"/>
        <v>-1</v>
      </c>
      <c r="H15" s="40"/>
      <c r="I15" s="64"/>
      <c r="J15" s="64">
        <v>462454</v>
      </c>
      <c r="K15" s="64">
        <v>134856</v>
      </c>
      <c r="L15" s="64">
        <v>551544</v>
      </c>
      <c r="M15" s="113">
        <f t="shared" si="3"/>
        <v>-1</v>
      </c>
      <c r="N15" s="113">
        <f t="shared" si="4"/>
        <v>-1</v>
      </c>
      <c r="O15" s="40"/>
      <c r="P15" s="61"/>
      <c r="Q15" s="61"/>
      <c r="R15" s="60"/>
    </row>
    <row r="16" spans="1:23" x14ac:dyDescent="0.25">
      <c r="A16" s="41" t="s">
        <v>13</v>
      </c>
      <c r="B16" s="41"/>
      <c r="C16" s="63">
        <f>J16</f>
        <v>483145</v>
      </c>
      <c r="D16" s="79">
        <v>118111</v>
      </c>
      <c r="E16" s="79">
        <f>SUM(L16,Q16)</f>
        <v>525279</v>
      </c>
      <c r="F16" s="110">
        <f t="shared" si="1"/>
        <v>-1</v>
      </c>
      <c r="G16" s="110">
        <f t="shared" si="2"/>
        <v>-1</v>
      </c>
      <c r="H16" s="40"/>
      <c r="I16" s="63"/>
      <c r="J16" s="63">
        <v>483145</v>
      </c>
      <c r="K16" s="63">
        <v>118111</v>
      </c>
      <c r="L16" s="63">
        <v>525279</v>
      </c>
      <c r="M16" s="112">
        <f t="shared" si="3"/>
        <v>-1</v>
      </c>
      <c r="N16" s="112">
        <f t="shared" si="4"/>
        <v>-1</v>
      </c>
      <c r="O16" s="40"/>
      <c r="P16" s="62"/>
      <c r="Q16" s="62"/>
      <c r="R16" s="60"/>
    </row>
    <row r="17" spans="1:19" x14ac:dyDescent="0.25">
      <c r="A17" s="49" t="s">
        <v>14</v>
      </c>
      <c r="B17" s="49"/>
      <c r="C17" s="80">
        <f>J17</f>
        <v>470365</v>
      </c>
      <c r="D17" s="80">
        <v>95447</v>
      </c>
      <c r="E17" s="80">
        <f>SUM(L17,Q17)</f>
        <v>554520</v>
      </c>
      <c r="F17" s="111">
        <f t="shared" si="1"/>
        <v>-1</v>
      </c>
      <c r="G17" s="111">
        <f t="shared" si="2"/>
        <v>-1</v>
      </c>
      <c r="H17" s="40"/>
      <c r="I17" s="64"/>
      <c r="J17" s="64">
        <v>470365</v>
      </c>
      <c r="K17" s="64">
        <v>95447</v>
      </c>
      <c r="L17" s="64">
        <v>554520</v>
      </c>
      <c r="M17" s="113">
        <f t="shared" si="3"/>
        <v>-1</v>
      </c>
      <c r="N17" s="113">
        <f t="shared" si="4"/>
        <v>-1</v>
      </c>
      <c r="O17" s="40"/>
      <c r="P17" s="61"/>
      <c r="Q17" s="61"/>
      <c r="R17" s="60"/>
    </row>
    <row r="18" spans="1:19" x14ac:dyDescent="0.25">
      <c r="A18" s="38" t="s">
        <v>35</v>
      </c>
      <c r="B18" s="81">
        <f>SUM(B6:B7)</f>
        <v>690082</v>
      </c>
      <c r="C18" s="81">
        <f>SUM(C6:C7)</f>
        <v>141959</v>
      </c>
      <c r="D18" s="81">
        <f t="shared" ref="D18:E18" si="5">SUM(D6:D7)</f>
        <v>937421</v>
      </c>
      <c r="E18" s="81">
        <f t="shared" si="5"/>
        <v>770568</v>
      </c>
      <c r="F18" s="110">
        <f>B18/C18-1</f>
        <v>3.8611359617917849</v>
      </c>
      <c r="G18" s="110">
        <f t="shared" si="2"/>
        <v>-0.10445022373106594</v>
      </c>
      <c r="H18" s="40"/>
      <c r="I18" s="81">
        <f>SUM(I6:I7)</f>
        <v>690082</v>
      </c>
      <c r="J18" s="81">
        <f>SUM(J6:J7)</f>
        <v>141959</v>
      </c>
      <c r="K18" s="81">
        <f t="shared" ref="K18:L18" si="6">SUM(K6:K7)</f>
        <v>937421</v>
      </c>
      <c r="L18" s="81">
        <f t="shared" si="6"/>
        <v>770568</v>
      </c>
      <c r="M18" s="110">
        <f>I18/J18-1</f>
        <v>3.8611359617917849</v>
      </c>
      <c r="N18" s="110">
        <f>I18/L18-1</f>
        <v>-0.10445022373106594</v>
      </c>
      <c r="O18" s="40"/>
      <c r="P18" s="61"/>
      <c r="Q18" s="61"/>
      <c r="R18" s="60"/>
    </row>
    <row r="19" spans="1:19" x14ac:dyDescent="0.25">
      <c r="A19" s="37"/>
      <c r="B19" s="37"/>
      <c r="C19" s="37"/>
      <c r="D19" s="37"/>
      <c r="H19" s="40"/>
      <c r="I19" s="40"/>
      <c r="J19" s="40"/>
    </row>
    <row r="20" spans="1:19" x14ac:dyDescent="0.25">
      <c r="A20" s="42" t="s">
        <v>45</v>
      </c>
      <c r="B20" s="42"/>
      <c r="C20" s="42"/>
      <c r="D20" s="37"/>
      <c r="L20" s="39"/>
      <c r="P20" s="39"/>
      <c r="Q20" s="39"/>
    </row>
    <row r="21" spans="1:19" x14ac:dyDescent="0.25">
      <c r="A21" s="2" t="s">
        <v>49</v>
      </c>
      <c r="B21" s="2"/>
      <c r="C21" s="2"/>
      <c r="P21" s="39"/>
      <c r="Q21" s="48"/>
      <c r="S21" s="2"/>
    </row>
    <row r="23" spans="1:19" x14ac:dyDescent="0.25">
      <c r="D23" s="29"/>
      <c r="E23" s="29"/>
      <c r="F23" s="29"/>
      <c r="G23" s="29"/>
    </row>
  </sheetData>
  <mergeCells count="4">
    <mergeCell ref="A1:R1"/>
    <mergeCell ref="P3:R3"/>
    <mergeCell ref="B3:G3"/>
    <mergeCell ref="I3:N3"/>
  </mergeCells>
  <phoneticPr fontId="17" type="noConversion"/>
  <pageMargins left="0.7" right="0.7" top="0.75" bottom="0.75" header="0.3" footer="0.3"/>
  <pageSetup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W23"/>
  <sheetViews>
    <sheetView zoomScaleNormal="100" zoomScaleSheetLayoutView="90" workbookViewId="0">
      <selection activeCell="M4" sqref="M4"/>
    </sheetView>
  </sheetViews>
  <sheetFormatPr baseColWidth="10" defaultColWidth="9.1640625" defaultRowHeight="19" x14ac:dyDescent="0.25"/>
  <cols>
    <col min="1" max="19" width="13.83203125" style="33" customWidth="1"/>
    <col min="20" max="16384" width="9.1640625" style="33"/>
  </cols>
  <sheetData>
    <row r="1" spans="1:23" s="44" customFormat="1" ht="31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33"/>
      <c r="T1" s="4"/>
      <c r="U1" s="4"/>
      <c r="V1" s="4"/>
      <c r="W1" s="4"/>
    </row>
    <row r="2" spans="1:23" s="44" customFormat="1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 s="3"/>
      <c r="U2" s="3"/>
      <c r="V2" s="3"/>
      <c r="W2" s="3"/>
    </row>
    <row r="3" spans="1:23" x14ac:dyDescent="0.25">
      <c r="A3" s="34"/>
      <c r="B3" s="100" t="s">
        <v>47</v>
      </c>
      <c r="C3" s="100"/>
      <c r="D3" s="100"/>
      <c r="E3" s="100"/>
      <c r="F3" s="100"/>
      <c r="G3" s="101"/>
      <c r="H3" s="53"/>
      <c r="I3" s="104" t="s">
        <v>15</v>
      </c>
      <c r="J3" s="104"/>
      <c r="K3" s="104"/>
      <c r="L3" s="104"/>
      <c r="M3" s="104"/>
      <c r="N3" s="105"/>
      <c r="O3" s="52"/>
      <c r="P3" s="98" t="s">
        <v>16</v>
      </c>
      <c r="Q3" s="98"/>
      <c r="R3" s="98"/>
    </row>
    <row r="4" spans="1:23" customFormat="1" ht="40" x14ac:dyDescent="0.25">
      <c r="A4" s="35"/>
      <c r="B4" s="75">
        <v>2022</v>
      </c>
      <c r="C4" s="75">
        <v>2021</v>
      </c>
      <c r="D4" s="75">
        <v>2020</v>
      </c>
      <c r="E4" s="75">
        <v>2019</v>
      </c>
      <c r="F4" s="76" t="s">
        <v>56</v>
      </c>
      <c r="G4" s="76" t="s">
        <v>54</v>
      </c>
      <c r="H4" s="37"/>
      <c r="I4" s="69">
        <v>2022</v>
      </c>
      <c r="J4" s="69">
        <v>2021</v>
      </c>
      <c r="K4" s="69">
        <v>2020</v>
      </c>
      <c r="L4" s="69">
        <v>2019</v>
      </c>
      <c r="M4" s="76" t="s">
        <v>56</v>
      </c>
      <c r="N4" s="76" t="s">
        <v>54</v>
      </c>
      <c r="O4" s="37"/>
      <c r="P4" s="36"/>
      <c r="Q4" s="36"/>
      <c r="R4" s="36"/>
    </row>
    <row r="5" spans="1:23" x14ac:dyDescent="0.25">
      <c r="A5" s="49"/>
      <c r="B5" s="49"/>
      <c r="C5" s="77"/>
      <c r="D5" s="78"/>
      <c r="E5" s="78"/>
      <c r="F5" s="78"/>
      <c r="G5" s="78"/>
      <c r="H5" s="37"/>
      <c r="I5" s="54"/>
      <c r="J5" s="54"/>
      <c r="K5" s="54"/>
      <c r="L5" s="55"/>
      <c r="M5" s="54"/>
      <c r="N5" s="54"/>
      <c r="O5" s="37"/>
      <c r="P5" s="57"/>
      <c r="Q5" s="58"/>
      <c r="R5" s="57"/>
    </row>
    <row r="6" spans="1:23" x14ac:dyDescent="0.25">
      <c r="A6" s="38" t="s">
        <v>3</v>
      </c>
      <c r="B6" s="115">
        <v>183244</v>
      </c>
      <c r="C6" s="79">
        <v>41254</v>
      </c>
      <c r="D6" s="79">
        <f t="shared" ref="D6:E8" si="0">K6</f>
        <v>288070</v>
      </c>
      <c r="E6" s="79">
        <f t="shared" si="0"/>
        <v>264662</v>
      </c>
      <c r="F6" s="110">
        <f>B6/C6-1</f>
        <v>3.4418480632181119</v>
      </c>
      <c r="G6" s="110">
        <f>B6/E6-1</f>
        <v>-0.30763010934701618</v>
      </c>
      <c r="H6" s="40"/>
      <c r="I6" s="79">
        <v>183244</v>
      </c>
      <c r="J6" s="79">
        <v>41254</v>
      </c>
      <c r="K6" s="63">
        <v>288070</v>
      </c>
      <c r="L6" s="63">
        <v>264662</v>
      </c>
      <c r="M6" s="112">
        <f>I6/J6-1</f>
        <v>3.4418480632181119</v>
      </c>
      <c r="N6" s="112">
        <f>I6/L6-1</f>
        <v>-0.30763010934701618</v>
      </c>
      <c r="O6" s="37"/>
      <c r="P6" s="59"/>
      <c r="Q6" s="59"/>
      <c r="R6" s="60"/>
    </row>
    <row r="7" spans="1:23" x14ac:dyDescent="0.25">
      <c r="A7" s="49" t="s">
        <v>4</v>
      </c>
      <c r="B7" s="116">
        <v>202906</v>
      </c>
      <c r="C7" s="80">
        <v>51305</v>
      </c>
      <c r="D7" s="80">
        <f t="shared" si="0"/>
        <v>278099</v>
      </c>
      <c r="E7" s="80">
        <f t="shared" si="0"/>
        <v>250698</v>
      </c>
      <c r="F7" s="111">
        <f t="shared" ref="F7:F18" si="1">B7/C7-1</f>
        <v>2.9548971835103792</v>
      </c>
      <c r="G7" s="111">
        <f t="shared" ref="G7:G18" si="2">B7/E7-1</f>
        <v>-0.19063574499996017</v>
      </c>
      <c r="H7" s="40"/>
      <c r="I7" s="64">
        <v>202906</v>
      </c>
      <c r="J7" s="64">
        <v>51305</v>
      </c>
      <c r="K7" s="64">
        <v>278099</v>
      </c>
      <c r="L7" s="64">
        <v>250698</v>
      </c>
      <c r="M7" s="113">
        <f t="shared" ref="M7:M18" si="3">I7/J7-1</f>
        <v>2.9548971835103792</v>
      </c>
      <c r="N7" s="113">
        <f t="shared" ref="N7:N18" si="4">I7/L7-1</f>
        <v>-0.19063574499996017</v>
      </c>
      <c r="O7" s="40"/>
      <c r="P7" s="61"/>
      <c r="Q7" s="61"/>
      <c r="R7" s="60"/>
    </row>
    <row r="8" spans="1:23" x14ac:dyDescent="0.25">
      <c r="A8" s="41" t="s">
        <v>5</v>
      </c>
      <c r="B8" s="41"/>
      <c r="C8" s="79">
        <v>114465</v>
      </c>
      <c r="D8" s="79">
        <f t="shared" si="0"/>
        <v>134452</v>
      </c>
      <c r="E8" s="79">
        <f t="shared" si="0"/>
        <v>289791</v>
      </c>
      <c r="F8" s="110">
        <f t="shared" si="1"/>
        <v>-1</v>
      </c>
      <c r="G8" s="110">
        <f t="shared" si="2"/>
        <v>-1</v>
      </c>
      <c r="H8" s="40"/>
      <c r="I8" s="79"/>
      <c r="J8" s="79">
        <v>114465</v>
      </c>
      <c r="K8" s="63">
        <v>134452</v>
      </c>
      <c r="L8" s="63">
        <v>289791</v>
      </c>
      <c r="M8" s="112">
        <f t="shared" si="3"/>
        <v>-1</v>
      </c>
      <c r="N8" s="112">
        <f t="shared" si="4"/>
        <v>-1</v>
      </c>
      <c r="O8" s="40"/>
      <c r="P8" s="62"/>
      <c r="Q8" s="62"/>
      <c r="R8" s="60"/>
    </row>
    <row r="9" spans="1:23" x14ac:dyDescent="0.25">
      <c r="A9" s="49" t="s">
        <v>6</v>
      </c>
      <c r="B9" s="49"/>
      <c r="C9" s="80">
        <v>51305</v>
      </c>
      <c r="D9" s="80">
        <f>K9</f>
        <v>6299</v>
      </c>
      <c r="E9" s="80">
        <f t="shared" ref="E9:E17" si="5">L9</f>
        <v>296941</v>
      </c>
      <c r="F9" s="111">
        <f t="shared" si="1"/>
        <v>-1</v>
      </c>
      <c r="G9" s="111">
        <f t="shared" si="2"/>
        <v>-1</v>
      </c>
      <c r="H9" s="40"/>
      <c r="I9" s="64"/>
      <c r="J9" s="64">
        <v>142537</v>
      </c>
      <c r="K9" s="64">
        <v>6299</v>
      </c>
      <c r="L9" s="64">
        <v>296941</v>
      </c>
      <c r="M9" s="113">
        <f t="shared" si="3"/>
        <v>-1</v>
      </c>
      <c r="N9" s="113">
        <f t="shared" si="4"/>
        <v>-1</v>
      </c>
      <c r="O9" s="40"/>
      <c r="P9" s="61"/>
      <c r="Q9" s="61"/>
      <c r="R9" s="60"/>
    </row>
    <row r="10" spans="1:23" x14ac:dyDescent="0.25">
      <c r="A10" s="38" t="s">
        <v>7</v>
      </c>
      <c r="B10" s="38"/>
      <c r="C10" s="63">
        <v>192805</v>
      </c>
      <c r="D10" s="79">
        <v>11566</v>
      </c>
      <c r="E10" s="79">
        <f t="shared" si="5"/>
        <v>305277</v>
      </c>
      <c r="F10" s="110">
        <f t="shared" si="1"/>
        <v>-1</v>
      </c>
      <c r="G10" s="110">
        <f t="shared" si="2"/>
        <v>-1</v>
      </c>
      <c r="H10" s="40"/>
      <c r="I10" s="63"/>
      <c r="J10" s="63">
        <v>192805</v>
      </c>
      <c r="K10" s="63">
        <v>11566</v>
      </c>
      <c r="L10" s="63">
        <v>305277</v>
      </c>
      <c r="M10" s="112">
        <f t="shared" si="3"/>
        <v>-1</v>
      </c>
      <c r="N10" s="112">
        <f t="shared" si="4"/>
        <v>-1</v>
      </c>
      <c r="O10" s="40"/>
      <c r="P10" s="62"/>
      <c r="Q10" s="62"/>
      <c r="R10" s="60"/>
    </row>
    <row r="11" spans="1:23" x14ac:dyDescent="0.25">
      <c r="A11" s="49" t="s">
        <v>8</v>
      </c>
      <c r="B11" s="49"/>
      <c r="C11" s="80">
        <v>136679</v>
      </c>
      <c r="D11" s="80">
        <v>24190</v>
      </c>
      <c r="E11" s="80">
        <f t="shared" si="5"/>
        <v>306937</v>
      </c>
      <c r="F11" s="111">
        <f t="shared" si="1"/>
        <v>-1</v>
      </c>
      <c r="G11" s="111">
        <f t="shared" si="2"/>
        <v>-1</v>
      </c>
      <c r="H11" s="40"/>
      <c r="I11" s="64"/>
      <c r="J11" s="64">
        <v>136679</v>
      </c>
      <c r="K11" s="64">
        <v>24190</v>
      </c>
      <c r="L11" s="64">
        <v>306937</v>
      </c>
      <c r="M11" s="113">
        <f t="shared" si="3"/>
        <v>-1</v>
      </c>
      <c r="N11" s="113">
        <f t="shared" si="4"/>
        <v>-1</v>
      </c>
      <c r="O11" s="40"/>
      <c r="P11" s="61"/>
      <c r="Q11" s="61"/>
      <c r="R11" s="60"/>
    </row>
    <row r="12" spans="1:23" x14ac:dyDescent="0.25">
      <c r="A12" s="38" t="s">
        <v>9</v>
      </c>
      <c r="B12" s="38"/>
      <c r="C12" s="63">
        <v>226857</v>
      </c>
      <c r="D12" s="79">
        <v>40406</v>
      </c>
      <c r="E12" s="79">
        <f t="shared" si="5"/>
        <v>319296</v>
      </c>
      <c r="F12" s="110">
        <f t="shared" si="1"/>
        <v>-1</v>
      </c>
      <c r="G12" s="110">
        <f t="shared" si="2"/>
        <v>-1</v>
      </c>
      <c r="H12" s="40"/>
      <c r="I12" s="63"/>
      <c r="J12" s="63">
        <v>226857</v>
      </c>
      <c r="K12" s="63">
        <v>40406</v>
      </c>
      <c r="L12" s="63">
        <v>319296</v>
      </c>
      <c r="M12" s="112">
        <f t="shared" si="3"/>
        <v>-1</v>
      </c>
      <c r="N12" s="112">
        <f t="shared" si="4"/>
        <v>-1</v>
      </c>
      <c r="O12" s="40"/>
      <c r="P12" s="62"/>
      <c r="Q12" s="62"/>
      <c r="R12" s="60"/>
    </row>
    <row r="13" spans="1:23" x14ac:dyDescent="0.25">
      <c r="A13" s="49" t="s">
        <v>10</v>
      </c>
      <c r="B13" s="49"/>
      <c r="C13" s="80">
        <v>203940</v>
      </c>
      <c r="D13" s="80">
        <v>43685</v>
      </c>
      <c r="E13" s="80">
        <f t="shared" si="5"/>
        <v>325104</v>
      </c>
      <c r="F13" s="111">
        <f t="shared" si="1"/>
        <v>-1</v>
      </c>
      <c r="G13" s="111">
        <f t="shared" si="2"/>
        <v>-1</v>
      </c>
      <c r="H13" s="40"/>
      <c r="I13" s="64"/>
      <c r="J13" s="64">
        <v>203940</v>
      </c>
      <c r="K13" s="64">
        <v>43685</v>
      </c>
      <c r="L13" s="64">
        <v>325104</v>
      </c>
      <c r="M13" s="113">
        <f t="shared" si="3"/>
        <v>-1</v>
      </c>
      <c r="N13" s="113">
        <f t="shared" si="4"/>
        <v>-1</v>
      </c>
      <c r="O13" s="40"/>
      <c r="P13" s="61"/>
      <c r="Q13" s="61"/>
      <c r="R13" s="60"/>
    </row>
    <row r="14" spans="1:23" x14ac:dyDescent="0.25">
      <c r="A14" s="43" t="s">
        <v>11</v>
      </c>
      <c r="B14" s="43"/>
      <c r="C14" s="63">
        <v>181360</v>
      </c>
      <c r="D14" s="79">
        <v>55007</v>
      </c>
      <c r="E14" s="79">
        <f t="shared" si="5"/>
        <v>289502</v>
      </c>
      <c r="F14" s="110">
        <f t="shared" si="1"/>
        <v>-1</v>
      </c>
      <c r="G14" s="110">
        <f t="shared" si="2"/>
        <v>-1</v>
      </c>
      <c r="H14" s="40"/>
      <c r="I14" s="63"/>
      <c r="J14" s="63">
        <v>181360</v>
      </c>
      <c r="K14" s="63">
        <v>55007</v>
      </c>
      <c r="L14" s="63">
        <v>289502</v>
      </c>
      <c r="M14" s="112">
        <f t="shared" si="3"/>
        <v>-1</v>
      </c>
      <c r="N14" s="112">
        <f t="shared" si="4"/>
        <v>-1</v>
      </c>
      <c r="O14" s="46"/>
      <c r="P14" s="62"/>
      <c r="Q14" s="62"/>
      <c r="R14" s="60"/>
    </row>
    <row r="15" spans="1:23" x14ac:dyDescent="0.25">
      <c r="A15" s="49" t="s">
        <v>12</v>
      </c>
      <c r="B15" s="49"/>
      <c r="C15" s="80">
        <v>220293</v>
      </c>
      <c r="D15" s="80">
        <v>57904</v>
      </c>
      <c r="E15" s="80">
        <f t="shared" si="5"/>
        <v>305102</v>
      </c>
      <c r="F15" s="111">
        <f t="shared" si="1"/>
        <v>-1</v>
      </c>
      <c r="G15" s="111">
        <f t="shared" si="2"/>
        <v>-1</v>
      </c>
      <c r="H15" s="40"/>
      <c r="I15" s="64"/>
      <c r="J15" s="64">
        <v>220293</v>
      </c>
      <c r="K15" s="64">
        <v>57904</v>
      </c>
      <c r="L15" s="64">
        <v>305102</v>
      </c>
      <c r="M15" s="113">
        <f t="shared" si="3"/>
        <v>-1</v>
      </c>
      <c r="N15" s="113">
        <f t="shared" si="4"/>
        <v>-1</v>
      </c>
      <c r="O15" s="40"/>
      <c r="P15" s="61"/>
      <c r="Q15" s="61"/>
      <c r="R15" s="60"/>
    </row>
    <row r="16" spans="1:23" x14ac:dyDescent="0.25">
      <c r="A16" s="41" t="s">
        <v>13</v>
      </c>
      <c r="B16" s="41"/>
      <c r="C16" s="94">
        <f>J16</f>
        <v>250676</v>
      </c>
      <c r="D16" s="79">
        <v>56143</v>
      </c>
      <c r="E16" s="79">
        <f t="shared" si="5"/>
        <v>308559</v>
      </c>
      <c r="F16" s="110">
        <f t="shared" si="1"/>
        <v>-1</v>
      </c>
      <c r="G16" s="110">
        <f t="shared" si="2"/>
        <v>-1</v>
      </c>
      <c r="H16" s="40"/>
      <c r="I16" s="63"/>
      <c r="J16" s="63">
        <v>250676</v>
      </c>
      <c r="K16" s="63">
        <v>56143</v>
      </c>
      <c r="L16" s="63">
        <v>308559</v>
      </c>
      <c r="M16" s="112">
        <f t="shared" si="3"/>
        <v>-1</v>
      </c>
      <c r="N16" s="112">
        <f t="shared" si="4"/>
        <v>-1</v>
      </c>
      <c r="O16" s="40"/>
      <c r="P16" s="62"/>
      <c r="Q16" s="62"/>
      <c r="R16" s="60"/>
    </row>
    <row r="17" spans="1:19" x14ac:dyDescent="0.25">
      <c r="A17" s="49" t="s">
        <v>14</v>
      </c>
      <c r="B17" s="49"/>
      <c r="C17" s="96">
        <f>J17</f>
        <v>261123</v>
      </c>
      <c r="D17" s="80">
        <v>46816</v>
      </c>
      <c r="E17" s="80">
        <f t="shared" si="5"/>
        <v>321686</v>
      </c>
      <c r="F17" s="111">
        <f t="shared" si="1"/>
        <v>-1</v>
      </c>
      <c r="G17" s="111">
        <f t="shared" si="2"/>
        <v>-1</v>
      </c>
      <c r="H17" s="40"/>
      <c r="I17" s="64"/>
      <c r="J17" s="64">
        <v>261123</v>
      </c>
      <c r="K17" s="64">
        <v>46816</v>
      </c>
      <c r="L17" s="64">
        <v>321686</v>
      </c>
      <c r="M17" s="113">
        <f t="shared" si="3"/>
        <v>-1</v>
      </c>
      <c r="N17" s="113">
        <f t="shared" si="4"/>
        <v>-1</v>
      </c>
      <c r="O17" s="40"/>
      <c r="P17" s="61"/>
      <c r="Q17" s="61"/>
      <c r="R17" s="60"/>
    </row>
    <row r="18" spans="1:19" x14ac:dyDescent="0.25">
      <c r="A18" s="38" t="s">
        <v>35</v>
      </c>
      <c r="B18" s="81">
        <f>SUM(B6:B7)</f>
        <v>386150</v>
      </c>
      <c r="C18" s="81">
        <f>SUM(C6:C7)</f>
        <v>92559</v>
      </c>
      <c r="D18" s="81">
        <f t="shared" ref="D18:E18" si="6">SUM(D6:D7)</f>
        <v>566169</v>
      </c>
      <c r="E18" s="81">
        <f t="shared" si="6"/>
        <v>515360</v>
      </c>
      <c r="F18" s="110">
        <f>B18/C18-1</f>
        <v>3.1719335775019175</v>
      </c>
      <c r="G18" s="110">
        <f t="shared" si="2"/>
        <v>-0.25071794473765907</v>
      </c>
      <c r="H18" s="40"/>
      <c r="I18" s="81">
        <f>SUM(I6:I7)</f>
        <v>386150</v>
      </c>
      <c r="J18" s="81">
        <f>SUM(J6:J7)</f>
        <v>92559</v>
      </c>
      <c r="K18" s="81">
        <f>SUM(K6:K7)</f>
        <v>566169</v>
      </c>
      <c r="L18" s="81">
        <f t="shared" ref="K18:L18" si="7">SUM(L6:L7)</f>
        <v>515360</v>
      </c>
      <c r="M18" s="110">
        <f>I18/J18-1</f>
        <v>3.1719335775019175</v>
      </c>
      <c r="N18" s="110">
        <f>I18/L18-1</f>
        <v>-0.25071794473765907</v>
      </c>
      <c r="O18" s="40"/>
      <c r="P18" s="61"/>
      <c r="Q18" s="61"/>
      <c r="R18" s="60"/>
    </row>
    <row r="19" spans="1:19" x14ac:dyDescent="0.25">
      <c r="A19" s="37"/>
      <c r="B19" s="37"/>
      <c r="C19" s="37"/>
      <c r="D19" s="37"/>
      <c r="H19" s="40"/>
      <c r="I19" s="40"/>
      <c r="J19" s="40"/>
    </row>
    <row r="20" spans="1:19" x14ac:dyDescent="0.25">
      <c r="A20" s="42" t="s">
        <v>37</v>
      </c>
      <c r="B20" s="42"/>
      <c r="C20" s="42"/>
      <c r="D20" s="37"/>
      <c r="L20" s="39"/>
      <c r="P20" s="39"/>
      <c r="Q20" s="39"/>
    </row>
    <row r="21" spans="1:19" x14ac:dyDescent="0.25">
      <c r="A21" s="2" t="s">
        <v>49</v>
      </c>
      <c r="B21" s="2"/>
      <c r="C21" s="2"/>
      <c r="P21" s="39"/>
      <c r="Q21" s="48"/>
      <c r="S21" s="2"/>
    </row>
    <row r="23" spans="1:19" x14ac:dyDescent="0.25">
      <c r="D23" s="29"/>
      <c r="E23" s="29"/>
      <c r="F23" s="29"/>
      <c r="G23" s="29"/>
    </row>
  </sheetData>
  <mergeCells count="4">
    <mergeCell ref="P3:R3"/>
    <mergeCell ref="A1:R1"/>
    <mergeCell ref="I3:N3"/>
    <mergeCell ref="B3:G3"/>
  </mergeCells>
  <phoneticPr fontId="17" type="noConversion"/>
  <pageMargins left="0.7" right="0.7" top="0.75" bottom="0.75" header="0.3" footer="0.3"/>
  <pageSetup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AS23"/>
  <sheetViews>
    <sheetView zoomScaleNormal="100" zoomScaleSheetLayoutView="100" workbookViewId="0">
      <selection activeCell="T4" sqref="T4"/>
    </sheetView>
  </sheetViews>
  <sheetFormatPr baseColWidth="10" defaultColWidth="8.83203125" defaultRowHeight="19" x14ac:dyDescent="0.25"/>
  <cols>
    <col min="1" max="16" width="13.83203125" style="33" customWidth="1"/>
    <col min="17" max="17" width="13.83203125" style="44" customWidth="1"/>
    <col min="18" max="21" width="13.83203125" style="33" customWidth="1"/>
  </cols>
  <sheetData>
    <row r="1" spans="1:45" ht="34" customHeight="1" x14ac:dyDescent="0.2">
      <c r="A1" s="97" t="s">
        <v>19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66"/>
      <c r="V1" s="47"/>
      <c r="W1" s="47"/>
      <c r="X1" s="47"/>
      <c r="Y1" s="47"/>
      <c r="Z1" s="47"/>
      <c r="AA1" s="47"/>
    </row>
    <row r="2" spans="1:45" ht="15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 s="1"/>
      <c r="R2"/>
      <c r="S2"/>
      <c r="T2"/>
      <c r="U2"/>
      <c r="V2" s="47"/>
      <c r="W2" s="47"/>
      <c r="X2" s="47"/>
      <c r="Y2" s="47"/>
      <c r="Z2" s="47"/>
      <c r="AA2" s="47"/>
    </row>
    <row r="3" spans="1:45" x14ac:dyDescent="0.25">
      <c r="A3" s="34"/>
      <c r="B3" s="100" t="s">
        <v>47</v>
      </c>
      <c r="C3" s="100"/>
      <c r="D3" s="100"/>
      <c r="E3" s="100"/>
      <c r="F3" s="100"/>
      <c r="G3" s="101"/>
      <c r="H3" s="53"/>
      <c r="I3" s="104" t="s">
        <v>15</v>
      </c>
      <c r="J3" s="104"/>
      <c r="K3" s="104"/>
      <c r="L3" s="104"/>
      <c r="M3" s="104"/>
      <c r="N3" s="105"/>
      <c r="O3" s="73"/>
      <c r="P3" s="106" t="s">
        <v>16</v>
      </c>
      <c r="Q3" s="106"/>
      <c r="R3" s="106"/>
      <c r="S3" s="106"/>
      <c r="T3" s="106"/>
      <c r="U3" s="107"/>
    </row>
    <row r="4" spans="1:45" ht="40" x14ac:dyDescent="0.25">
      <c r="A4" s="35"/>
      <c r="B4" s="75">
        <v>2022</v>
      </c>
      <c r="C4" s="75">
        <v>2021</v>
      </c>
      <c r="D4" s="75">
        <v>2020</v>
      </c>
      <c r="E4" s="75">
        <v>2019</v>
      </c>
      <c r="F4" s="76" t="s">
        <v>56</v>
      </c>
      <c r="G4" s="76" t="s">
        <v>54</v>
      </c>
      <c r="H4" s="37"/>
      <c r="I4" s="69">
        <v>2022</v>
      </c>
      <c r="J4" s="69">
        <v>2021</v>
      </c>
      <c r="K4" s="69">
        <v>2020</v>
      </c>
      <c r="L4" s="69">
        <v>2019</v>
      </c>
      <c r="M4" s="76" t="s">
        <v>56</v>
      </c>
      <c r="N4" s="76" t="s">
        <v>54</v>
      </c>
      <c r="O4" s="67"/>
      <c r="P4" s="69">
        <v>2022</v>
      </c>
      <c r="Q4" s="69">
        <v>2021</v>
      </c>
      <c r="R4" s="69">
        <v>2020</v>
      </c>
      <c r="S4" s="69">
        <v>2019</v>
      </c>
      <c r="T4" s="76" t="s">
        <v>56</v>
      </c>
      <c r="U4" s="76" t="s">
        <v>54</v>
      </c>
    </row>
    <row r="5" spans="1:45" x14ac:dyDescent="0.25">
      <c r="A5" s="49"/>
      <c r="B5" s="49"/>
      <c r="C5" s="77"/>
      <c r="D5" s="78"/>
      <c r="E5" s="78"/>
      <c r="F5" s="78"/>
      <c r="G5" s="78"/>
      <c r="H5" s="37"/>
      <c r="I5" s="54"/>
      <c r="J5" s="54"/>
      <c r="K5" s="54"/>
      <c r="L5" s="55"/>
      <c r="M5" s="54"/>
      <c r="N5" s="54"/>
      <c r="O5" s="37"/>
      <c r="P5" s="50"/>
      <c r="Q5" s="50"/>
      <c r="R5" s="50"/>
      <c r="S5" s="51"/>
      <c r="T5" s="50"/>
      <c r="U5" s="50"/>
    </row>
    <row r="6" spans="1:45" x14ac:dyDescent="0.25">
      <c r="A6" s="38" t="s">
        <v>3</v>
      </c>
      <c r="B6" s="115">
        <v>339736</v>
      </c>
      <c r="C6" s="79">
        <v>151860</v>
      </c>
      <c r="D6" s="79">
        <v>454539</v>
      </c>
      <c r="E6" s="79">
        <v>396206</v>
      </c>
      <c r="F6" s="110">
        <f>B6/C6-1</f>
        <v>1.2371658106150401</v>
      </c>
      <c r="G6" s="110">
        <f>B6/E6-1</f>
        <v>-0.14252686733668851</v>
      </c>
      <c r="H6" s="40"/>
      <c r="I6" s="63">
        <f>B6-P6</f>
        <v>328867</v>
      </c>
      <c r="J6" s="63">
        <f>C6-Q6</f>
        <v>145385</v>
      </c>
      <c r="K6" s="63">
        <f>D6-R6</f>
        <v>423719</v>
      </c>
      <c r="L6" s="63">
        <f>E6-S6</f>
        <v>369227</v>
      </c>
      <c r="M6" s="112">
        <f>I6/J6-1</f>
        <v>1.2620421639096193</v>
      </c>
      <c r="N6" s="112">
        <f>I6/L6-1</f>
        <v>-0.10930944920062724</v>
      </c>
      <c r="O6" s="37"/>
      <c r="P6" s="88">
        <f>405+10464</f>
        <v>10869</v>
      </c>
      <c r="Q6" s="88">
        <v>6475</v>
      </c>
      <c r="R6" s="63">
        <f>20269+10551</f>
        <v>30820</v>
      </c>
      <c r="S6" s="63">
        <f>17554+9375+50</f>
        <v>26979</v>
      </c>
      <c r="T6" s="112">
        <f>P6/Q6-1</f>
        <v>0.67861003861003866</v>
      </c>
      <c r="U6" s="112">
        <f>P6/S6-1</f>
        <v>-0.59713110196819752</v>
      </c>
    </row>
    <row r="7" spans="1:45" x14ac:dyDescent="0.25">
      <c r="A7" s="49" t="s">
        <v>4</v>
      </c>
      <c r="B7" s="116">
        <v>357880</v>
      </c>
      <c r="C7" s="80">
        <v>152293</v>
      </c>
      <c r="D7" s="80">
        <v>419951</v>
      </c>
      <c r="E7" s="80">
        <v>363426</v>
      </c>
      <c r="F7" s="111">
        <f t="shared" ref="F7:F18" si="0">B7/C7-1</f>
        <v>1.3499438582206666</v>
      </c>
      <c r="G7" s="111">
        <f t="shared" ref="G7:G18" si="1">B7/E7-1</f>
        <v>-1.5260328099805709E-2</v>
      </c>
      <c r="H7" s="40"/>
      <c r="I7" s="64">
        <f>B7-P7</f>
        <v>350153</v>
      </c>
      <c r="J7" s="64">
        <f>C7-Q7</f>
        <v>150272</v>
      </c>
      <c r="K7" s="64">
        <f>D7-R7</f>
        <v>399082</v>
      </c>
      <c r="L7" s="64">
        <f>E7-S7</f>
        <v>343205</v>
      </c>
      <c r="M7" s="113">
        <f t="shared" ref="M7:M18" si="2">I7/J7-1</f>
        <v>1.3301280344974447</v>
      </c>
      <c r="N7" s="113">
        <f t="shared" ref="N7:N18" si="3">I7/L7-1</f>
        <v>2.0244460307979217E-2</v>
      </c>
      <c r="O7" s="40"/>
      <c r="P7" s="89">
        <f>516+7211</f>
        <v>7727</v>
      </c>
      <c r="Q7" s="89">
        <v>2021</v>
      </c>
      <c r="R7" s="65">
        <f>12339+8530</f>
        <v>20869</v>
      </c>
      <c r="S7" s="65">
        <f>12635+7586</f>
        <v>20221</v>
      </c>
      <c r="T7" s="114">
        <f t="shared" ref="T7:T18" si="4">P7/Q7-1</f>
        <v>2.8233547748639287</v>
      </c>
      <c r="U7" s="114">
        <f t="shared" ref="U7:U18" si="5">P7/S7-1</f>
        <v>-0.61787250877800304</v>
      </c>
    </row>
    <row r="8" spans="1:45" x14ac:dyDescent="0.25">
      <c r="A8" s="41" t="s">
        <v>5</v>
      </c>
      <c r="B8" s="41"/>
      <c r="C8" s="79">
        <v>259491</v>
      </c>
      <c r="D8" s="79">
        <v>233776</v>
      </c>
      <c r="E8" s="79">
        <v>436701</v>
      </c>
      <c r="F8" s="110">
        <f t="shared" si="0"/>
        <v>-1</v>
      </c>
      <c r="G8" s="110">
        <f t="shared" si="1"/>
        <v>-1</v>
      </c>
      <c r="H8" s="40"/>
      <c r="I8" s="63"/>
      <c r="J8" s="63">
        <f>C8-Q8</f>
        <v>256837</v>
      </c>
      <c r="K8" s="63">
        <f>D8-R8</f>
        <v>221481</v>
      </c>
      <c r="L8" s="63">
        <f>E8-S8</f>
        <v>412440</v>
      </c>
      <c r="M8" s="112">
        <f t="shared" si="2"/>
        <v>-1</v>
      </c>
      <c r="N8" s="112">
        <f t="shared" si="3"/>
        <v>-1</v>
      </c>
      <c r="O8" s="40"/>
      <c r="P8" s="88"/>
      <c r="Q8" s="88">
        <v>2654</v>
      </c>
      <c r="R8" s="63">
        <f>5606+6689</f>
        <v>12295</v>
      </c>
      <c r="S8" s="63">
        <f>15347+8914</f>
        <v>24261</v>
      </c>
      <c r="T8" s="112">
        <f t="shared" si="4"/>
        <v>-1</v>
      </c>
      <c r="U8" s="112">
        <f t="shared" si="5"/>
        <v>-1</v>
      </c>
    </row>
    <row r="9" spans="1:45" x14ac:dyDescent="0.25">
      <c r="A9" s="49" t="s">
        <v>6</v>
      </c>
      <c r="B9" s="49"/>
      <c r="C9" s="80">
        <v>298784</v>
      </c>
      <c r="D9" s="80">
        <f>K9+R9</f>
        <v>28916</v>
      </c>
      <c r="E9" s="80">
        <v>444948</v>
      </c>
      <c r="F9" s="111">
        <f t="shared" si="0"/>
        <v>-1</v>
      </c>
      <c r="G9" s="111">
        <f t="shared" si="1"/>
        <v>-1</v>
      </c>
      <c r="H9" s="40"/>
      <c r="I9" s="64"/>
      <c r="J9" s="64">
        <v>295186</v>
      </c>
      <c r="K9" s="64">
        <v>28916</v>
      </c>
      <c r="L9" s="64">
        <f t="shared" ref="L9:L17" si="6">E9-S9</f>
        <v>420699</v>
      </c>
      <c r="M9" s="113">
        <f t="shared" si="2"/>
        <v>-1</v>
      </c>
      <c r="N9" s="113">
        <f t="shared" si="3"/>
        <v>-1</v>
      </c>
      <c r="O9" s="40"/>
      <c r="P9" s="89"/>
      <c r="Q9" s="89">
        <v>3598</v>
      </c>
      <c r="R9" s="65">
        <v>0</v>
      </c>
      <c r="S9" s="65">
        <f>16045+8204</f>
        <v>24249</v>
      </c>
      <c r="T9" s="114">
        <f t="shared" si="4"/>
        <v>-1</v>
      </c>
      <c r="U9" s="114">
        <f t="shared" si="5"/>
        <v>-1</v>
      </c>
    </row>
    <row r="10" spans="1:45" x14ac:dyDescent="0.25">
      <c r="A10" s="38" t="s">
        <v>7</v>
      </c>
      <c r="B10" s="38"/>
      <c r="C10" s="79">
        <v>366937</v>
      </c>
      <c r="D10" s="79">
        <v>70296</v>
      </c>
      <c r="E10" s="79">
        <v>475400</v>
      </c>
      <c r="F10" s="110">
        <f t="shared" si="0"/>
        <v>-1</v>
      </c>
      <c r="G10" s="110">
        <f t="shared" si="1"/>
        <v>-1</v>
      </c>
      <c r="H10" s="40"/>
      <c r="I10" s="63"/>
      <c r="J10" s="63">
        <f t="shared" ref="J10:J16" si="7">C10-Q10</f>
        <v>355648</v>
      </c>
      <c r="K10" s="63">
        <v>70296</v>
      </c>
      <c r="L10" s="63">
        <f t="shared" si="6"/>
        <v>449233</v>
      </c>
      <c r="M10" s="112">
        <f t="shared" si="2"/>
        <v>-1</v>
      </c>
      <c r="N10" s="112">
        <f t="shared" si="3"/>
        <v>-1</v>
      </c>
      <c r="O10" s="40"/>
      <c r="P10" s="88"/>
      <c r="Q10" s="88">
        <v>11289</v>
      </c>
      <c r="R10" s="63">
        <v>0</v>
      </c>
      <c r="S10" s="63">
        <f>16077+10090</f>
        <v>26167</v>
      </c>
      <c r="T10" s="112">
        <f t="shared" si="4"/>
        <v>-1</v>
      </c>
      <c r="U10" s="112">
        <f t="shared" si="5"/>
        <v>-1</v>
      </c>
    </row>
    <row r="11" spans="1:45" x14ac:dyDescent="0.25">
      <c r="A11" s="49" t="s">
        <v>8</v>
      </c>
      <c r="B11" s="49"/>
      <c r="C11" s="80">
        <v>431085</v>
      </c>
      <c r="D11" s="80">
        <v>142029</v>
      </c>
      <c r="E11" s="80">
        <v>477681</v>
      </c>
      <c r="F11" s="111">
        <f t="shared" si="0"/>
        <v>-1</v>
      </c>
      <c r="G11" s="111">
        <f t="shared" si="1"/>
        <v>-1</v>
      </c>
      <c r="H11" s="40"/>
      <c r="I11" s="64"/>
      <c r="J11" s="64">
        <f t="shared" si="7"/>
        <v>419434</v>
      </c>
      <c r="K11" s="64">
        <f t="shared" ref="K11:K17" si="8">D11-R11</f>
        <v>140629</v>
      </c>
      <c r="L11" s="64">
        <f t="shared" si="6"/>
        <v>451211</v>
      </c>
      <c r="M11" s="113">
        <f t="shared" si="2"/>
        <v>-1</v>
      </c>
      <c r="N11" s="113">
        <f t="shared" si="3"/>
        <v>-1</v>
      </c>
      <c r="O11" s="40"/>
      <c r="P11" s="89"/>
      <c r="Q11" s="89">
        <f>11324+327</f>
        <v>11651</v>
      </c>
      <c r="R11" s="65">
        <v>1400</v>
      </c>
      <c r="S11" s="65">
        <f>16810+9660</f>
        <v>26470</v>
      </c>
      <c r="T11" s="114">
        <f t="shared" si="4"/>
        <v>-1</v>
      </c>
      <c r="U11" s="114">
        <f t="shared" si="5"/>
        <v>-1</v>
      </c>
    </row>
    <row r="12" spans="1:45" x14ac:dyDescent="0.25">
      <c r="A12" s="38" t="s">
        <v>9</v>
      </c>
      <c r="B12" s="38"/>
      <c r="C12" s="79">
        <v>477966</v>
      </c>
      <c r="D12" s="79">
        <v>176220</v>
      </c>
      <c r="E12" s="79">
        <v>494966</v>
      </c>
      <c r="F12" s="110">
        <f t="shared" si="0"/>
        <v>-1</v>
      </c>
      <c r="G12" s="110">
        <f t="shared" si="1"/>
        <v>-1</v>
      </c>
      <c r="H12" s="40"/>
      <c r="I12" s="63"/>
      <c r="J12" s="63">
        <f t="shared" si="7"/>
        <v>465050</v>
      </c>
      <c r="K12" s="63">
        <f t="shared" si="8"/>
        <v>172604</v>
      </c>
      <c r="L12" s="63">
        <f t="shared" si="6"/>
        <v>467990</v>
      </c>
      <c r="M12" s="112">
        <f t="shared" si="2"/>
        <v>-1</v>
      </c>
      <c r="N12" s="112">
        <f t="shared" si="3"/>
        <v>-1</v>
      </c>
      <c r="O12" s="40"/>
      <c r="P12" s="88"/>
      <c r="Q12" s="88">
        <f>12489+427</f>
        <v>12916</v>
      </c>
      <c r="R12" s="63">
        <v>3616</v>
      </c>
      <c r="S12" s="63">
        <f>16992+9984</f>
        <v>26976</v>
      </c>
      <c r="T12" s="112">
        <f t="shared" si="4"/>
        <v>-1</v>
      </c>
      <c r="U12" s="112">
        <f t="shared" si="5"/>
        <v>-1</v>
      </c>
    </row>
    <row r="13" spans="1:45" x14ac:dyDescent="0.25">
      <c r="A13" s="49" t="s">
        <v>10</v>
      </c>
      <c r="B13" s="49"/>
      <c r="C13" s="80">
        <v>467622</v>
      </c>
      <c r="D13" s="80">
        <v>196531</v>
      </c>
      <c r="E13" s="80">
        <v>504102</v>
      </c>
      <c r="F13" s="111">
        <f t="shared" si="0"/>
        <v>-1</v>
      </c>
      <c r="G13" s="111">
        <f t="shared" si="1"/>
        <v>-1</v>
      </c>
      <c r="H13" s="40"/>
      <c r="I13" s="64"/>
      <c r="J13" s="64">
        <f t="shared" si="7"/>
        <v>456445</v>
      </c>
      <c r="K13" s="64">
        <f t="shared" si="8"/>
        <v>193142</v>
      </c>
      <c r="L13" s="64">
        <f t="shared" si="6"/>
        <v>478782</v>
      </c>
      <c r="M13" s="113">
        <f t="shared" si="2"/>
        <v>-1</v>
      </c>
      <c r="N13" s="113">
        <f t="shared" si="3"/>
        <v>-1</v>
      </c>
      <c r="O13" s="40"/>
      <c r="P13" s="89"/>
      <c r="Q13" s="89">
        <f>10790+387</f>
        <v>11177</v>
      </c>
      <c r="R13" s="65">
        <v>3389</v>
      </c>
      <c r="S13" s="65">
        <f>16303+9017</f>
        <v>25320</v>
      </c>
      <c r="T13" s="114">
        <f t="shared" si="4"/>
        <v>-1</v>
      </c>
      <c r="U13" s="114">
        <f t="shared" si="5"/>
        <v>-1</v>
      </c>
    </row>
    <row r="14" spans="1:45" s="47" customFormat="1" x14ac:dyDescent="0.25">
      <c r="A14" s="43" t="s">
        <v>11</v>
      </c>
      <c r="B14" s="43"/>
      <c r="C14" s="79">
        <v>453174</v>
      </c>
      <c r="D14" s="79">
        <v>195037</v>
      </c>
      <c r="E14" s="79">
        <v>469324</v>
      </c>
      <c r="F14" s="110">
        <f t="shared" si="0"/>
        <v>-1</v>
      </c>
      <c r="G14" s="110">
        <f t="shared" si="1"/>
        <v>-1</v>
      </c>
      <c r="H14" s="40"/>
      <c r="I14" s="63"/>
      <c r="J14" s="63">
        <f t="shared" si="7"/>
        <v>443090</v>
      </c>
      <c r="K14" s="63">
        <f t="shared" si="8"/>
        <v>191467</v>
      </c>
      <c r="L14" s="63">
        <f t="shared" si="6"/>
        <v>446169</v>
      </c>
      <c r="M14" s="112">
        <f t="shared" si="2"/>
        <v>-1</v>
      </c>
      <c r="N14" s="112">
        <f t="shared" si="3"/>
        <v>-1</v>
      </c>
      <c r="O14" s="46"/>
      <c r="P14" s="88"/>
      <c r="Q14" s="88">
        <f>216+9868</f>
        <v>10084</v>
      </c>
      <c r="R14" s="63">
        <v>3570</v>
      </c>
      <c r="S14" s="63">
        <f>14518+8637</f>
        <v>23155</v>
      </c>
      <c r="T14" s="112">
        <f t="shared" si="4"/>
        <v>-1</v>
      </c>
      <c r="U14" s="112">
        <f t="shared" si="5"/>
        <v>-1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s="6" customFormat="1" x14ac:dyDescent="0.25">
      <c r="A15" s="49" t="s">
        <v>12</v>
      </c>
      <c r="B15" s="49"/>
      <c r="C15" s="80">
        <v>494727</v>
      </c>
      <c r="D15" s="80">
        <v>217922</v>
      </c>
      <c r="E15" s="80">
        <v>504550</v>
      </c>
      <c r="F15" s="111">
        <f t="shared" si="0"/>
        <v>-1</v>
      </c>
      <c r="G15" s="111">
        <f t="shared" si="1"/>
        <v>-1</v>
      </c>
      <c r="H15" s="40"/>
      <c r="I15" s="64"/>
      <c r="J15" s="64">
        <f>C15-Q15</f>
        <v>484128</v>
      </c>
      <c r="K15" s="64">
        <f t="shared" si="8"/>
        <v>213773</v>
      </c>
      <c r="L15" s="64">
        <f t="shared" si="6"/>
        <v>480318</v>
      </c>
      <c r="M15" s="113">
        <f t="shared" si="2"/>
        <v>-1</v>
      </c>
      <c r="N15" s="113">
        <f t="shared" si="3"/>
        <v>-1</v>
      </c>
      <c r="O15" s="40"/>
      <c r="P15" s="89"/>
      <c r="Q15" s="89">
        <f>236+10363</f>
        <v>10599</v>
      </c>
      <c r="R15" s="65">
        <v>4149</v>
      </c>
      <c r="S15" s="65">
        <f>15005+9227</f>
        <v>24232</v>
      </c>
      <c r="T15" s="114">
        <f t="shared" si="4"/>
        <v>-1</v>
      </c>
      <c r="U15" s="114">
        <f t="shared" si="5"/>
        <v>-1</v>
      </c>
    </row>
    <row r="16" spans="1:45" x14ac:dyDescent="0.25">
      <c r="A16" s="41" t="s">
        <v>13</v>
      </c>
      <c r="B16" s="41"/>
      <c r="C16" s="95">
        <v>475502</v>
      </c>
      <c r="D16" s="79">
        <v>212726</v>
      </c>
      <c r="E16" s="79">
        <v>501639</v>
      </c>
      <c r="F16" s="110">
        <f t="shared" si="0"/>
        <v>-1</v>
      </c>
      <c r="G16" s="110">
        <f t="shared" si="1"/>
        <v>-1</v>
      </c>
      <c r="H16" s="40"/>
      <c r="I16" s="63"/>
      <c r="J16" s="63">
        <f t="shared" si="7"/>
        <v>464162</v>
      </c>
      <c r="K16" s="63">
        <f t="shared" si="8"/>
        <v>205526</v>
      </c>
      <c r="L16" s="63">
        <f t="shared" si="6"/>
        <v>475453</v>
      </c>
      <c r="M16" s="112">
        <f t="shared" si="2"/>
        <v>-1</v>
      </c>
      <c r="N16" s="112">
        <f t="shared" si="3"/>
        <v>-1</v>
      </c>
      <c r="O16" s="40"/>
      <c r="P16" s="88"/>
      <c r="Q16" s="88">
        <f>11096+244</f>
        <v>11340</v>
      </c>
      <c r="R16" s="63">
        <v>7200</v>
      </c>
      <c r="S16" s="63">
        <f>17203+8983</f>
        <v>26186</v>
      </c>
      <c r="T16" s="112">
        <f t="shared" si="4"/>
        <v>-1</v>
      </c>
      <c r="U16" s="112">
        <f t="shared" si="5"/>
        <v>-1</v>
      </c>
    </row>
    <row r="17" spans="1:21" x14ac:dyDescent="0.25">
      <c r="A17" s="49" t="s">
        <v>14</v>
      </c>
      <c r="B17" s="49"/>
      <c r="C17" s="80">
        <v>467151</v>
      </c>
      <c r="D17" s="80">
        <v>190534</v>
      </c>
      <c r="E17" s="80">
        <v>514789</v>
      </c>
      <c r="F17" s="111">
        <f t="shared" si="0"/>
        <v>-1</v>
      </c>
      <c r="G17" s="111">
        <f t="shared" si="1"/>
        <v>-1</v>
      </c>
      <c r="H17" s="40"/>
      <c r="I17" s="64"/>
      <c r="J17" s="64">
        <f>C17-Q17</f>
        <v>454695</v>
      </c>
      <c r="K17" s="64">
        <f t="shared" si="8"/>
        <v>182779</v>
      </c>
      <c r="L17" s="64">
        <f t="shared" si="6"/>
        <v>455086</v>
      </c>
      <c r="M17" s="113">
        <f t="shared" si="2"/>
        <v>-1</v>
      </c>
      <c r="N17" s="113">
        <f t="shared" si="3"/>
        <v>-1</v>
      </c>
      <c r="O17" s="40"/>
      <c r="P17" s="89"/>
      <c r="Q17" s="89">
        <f>277+12179</f>
        <v>12456</v>
      </c>
      <c r="R17" s="65">
        <v>7755</v>
      </c>
      <c r="S17" s="65">
        <f>48455+11248</f>
        <v>59703</v>
      </c>
      <c r="T17" s="114">
        <f t="shared" si="4"/>
        <v>-1</v>
      </c>
      <c r="U17" s="114">
        <f t="shared" si="5"/>
        <v>-1</v>
      </c>
    </row>
    <row r="18" spans="1:21" x14ac:dyDescent="0.25">
      <c r="A18" s="38" t="s">
        <v>35</v>
      </c>
      <c r="B18" s="81">
        <f>SUM(B6:B7)</f>
        <v>697616</v>
      </c>
      <c r="C18" s="81">
        <f>SUM(C6:C7)</f>
        <v>304153</v>
      </c>
      <c r="D18" s="81">
        <f t="shared" ref="D18:E18" si="9">SUM(D6:D7)</f>
        <v>874490</v>
      </c>
      <c r="E18" s="81">
        <f t="shared" si="9"/>
        <v>759632</v>
      </c>
      <c r="F18" s="110">
        <f>B18/C18-1</f>
        <v>1.2936351112762328</v>
      </c>
      <c r="G18" s="110">
        <f t="shared" si="1"/>
        <v>-8.1639530720138187E-2</v>
      </c>
      <c r="H18" s="40"/>
      <c r="I18" s="81">
        <f>SUM(I6:I7)</f>
        <v>679020</v>
      </c>
      <c r="J18" s="81">
        <f>SUM(J6:J7)</f>
        <v>295657</v>
      </c>
      <c r="K18" s="81">
        <f t="shared" ref="K18:L18" si="10">SUM(K6:K7)</f>
        <v>822801</v>
      </c>
      <c r="L18" s="81">
        <f>SUM(L6:L7)</f>
        <v>712432</v>
      </c>
      <c r="M18" s="110">
        <f>I18/J18-1</f>
        <v>1.2966478047196581</v>
      </c>
      <c r="N18" s="110">
        <f>I18/L18-1</f>
        <v>-4.6898511015788125E-2</v>
      </c>
      <c r="O18" s="40"/>
      <c r="P18" s="81">
        <f>SUM(P6:P7)</f>
        <v>18596</v>
      </c>
      <c r="Q18" s="81">
        <f>SUM(Q6:Q7)</f>
        <v>8496</v>
      </c>
      <c r="R18" s="81">
        <f t="shared" ref="R18:S18" si="11">SUM(R6:R7)</f>
        <v>51689</v>
      </c>
      <c r="S18" s="81">
        <f t="shared" si="11"/>
        <v>47200</v>
      </c>
      <c r="T18" s="110">
        <f>P18/Q18-1</f>
        <v>1.1887947269303201</v>
      </c>
      <c r="U18" s="110">
        <f t="shared" si="5"/>
        <v>-0.60601694915254245</v>
      </c>
    </row>
    <row r="19" spans="1:21" x14ac:dyDescent="0.25">
      <c r="A19" s="37"/>
      <c r="B19" s="37"/>
      <c r="C19" s="37"/>
      <c r="D19" s="37"/>
      <c r="H19" s="40"/>
      <c r="I19" s="40"/>
      <c r="J19" s="40"/>
    </row>
    <row r="20" spans="1:21" x14ac:dyDescent="0.25">
      <c r="A20" s="42" t="s">
        <v>38</v>
      </c>
      <c r="B20" s="42"/>
      <c r="C20" s="42"/>
      <c r="D20" s="56"/>
      <c r="L20" s="39"/>
      <c r="M20" s="39"/>
      <c r="R20" s="39"/>
      <c r="S20" s="39"/>
    </row>
    <row r="21" spans="1:21" x14ac:dyDescent="0.25">
      <c r="A21" s="2" t="s">
        <v>52</v>
      </c>
      <c r="B21" s="2"/>
      <c r="C21" s="2"/>
      <c r="R21" s="39"/>
      <c r="S21" s="48"/>
    </row>
    <row r="23" spans="1:21" x14ac:dyDescent="0.25">
      <c r="D23" s="29"/>
      <c r="E23" s="29"/>
      <c r="F23" s="29"/>
      <c r="G23" s="29"/>
    </row>
  </sheetData>
  <mergeCells count="4">
    <mergeCell ref="A1:T1"/>
    <mergeCell ref="B3:G3"/>
    <mergeCell ref="I3:N3"/>
    <mergeCell ref="P3:U3"/>
  </mergeCells>
  <phoneticPr fontId="17" type="noConversion"/>
  <pageMargins left="0.7" right="0.7" top="0.75" bottom="0.75" header="0.3" footer="0.3"/>
  <pageSetup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BA957"/>
    <pageSetUpPr fitToPage="1"/>
  </sheetPr>
  <dimension ref="A1:AS23"/>
  <sheetViews>
    <sheetView tabSelected="1" zoomScaleNormal="100" zoomScaleSheetLayoutView="90" workbookViewId="0">
      <selection activeCell="I6" sqref="I6:I7"/>
    </sheetView>
  </sheetViews>
  <sheetFormatPr baseColWidth="10" defaultColWidth="8.83203125" defaultRowHeight="19" x14ac:dyDescent="0.25"/>
  <cols>
    <col min="1" max="21" width="13.83203125" style="33" customWidth="1"/>
  </cols>
  <sheetData>
    <row r="1" spans="1:45" ht="34" customHeight="1" x14ac:dyDescent="0.2">
      <c r="A1" s="97" t="s">
        <v>23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66"/>
      <c r="V1" s="47"/>
      <c r="W1" s="47"/>
      <c r="X1" s="47"/>
      <c r="Y1" s="47"/>
      <c r="Z1" s="47"/>
      <c r="AA1" s="47"/>
    </row>
    <row r="2" spans="1:45" ht="15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s="47"/>
      <c r="W2" s="47"/>
      <c r="X2" s="47"/>
      <c r="Y2" s="47"/>
      <c r="Z2" s="47"/>
      <c r="AA2" s="47"/>
    </row>
    <row r="3" spans="1:45" x14ac:dyDescent="0.25">
      <c r="A3" s="34"/>
      <c r="B3" s="100" t="s">
        <v>47</v>
      </c>
      <c r="C3" s="100"/>
      <c r="D3" s="100"/>
      <c r="E3" s="100"/>
      <c r="F3" s="100"/>
      <c r="G3" s="101"/>
      <c r="H3" s="53"/>
      <c r="I3" s="104" t="s">
        <v>15</v>
      </c>
      <c r="J3" s="104"/>
      <c r="K3" s="104"/>
      <c r="L3" s="104"/>
      <c r="M3" s="104"/>
      <c r="N3" s="105"/>
      <c r="O3" s="73"/>
      <c r="P3" s="102" t="s">
        <v>16</v>
      </c>
      <c r="Q3" s="102"/>
      <c r="R3" s="102"/>
      <c r="S3" s="102"/>
      <c r="T3" s="102"/>
      <c r="U3" s="103"/>
    </row>
    <row r="4" spans="1:45" ht="40" x14ac:dyDescent="0.25">
      <c r="A4" s="35"/>
      <c r="B4" s="75">
        <v>2022</v>
      </c>
      <c r="C4" s="75">
        <v>2021</v>
      </c>
      <c r="D4" s="75">
        <v>2020</v>
      </c>
      <c r="E4" s="75">
        <v>2019</v>
      </c>
      <c r="F4" s="76" t="s">
        <v>56</v>
      </c>
      <c r="G4" s="76" t="s">
        <v>54</v>
      </c>
      <c r="H4" s="37"/>
      <c r="I4" s="69">
        <v>2022</v>
      </c>
      <c r="J4" s="69">
        <v>2021</v>
      </c>
      <c r="K4" s="69">
        <v>2020</v>
      </c>
      <c r="L4" s="69">
        <v>2019</v>
      </c>
      <c r="M4" s="76" t="s">
        <v>56</v>
      </c>
      <c r="N4" s="86" t="s">
        <v>54</v>
      </c>
      <c r="O4" s="67"/>
      <c r="P4" s="69">
        <v>2022</v>
      </c>
      <c r="Q4" s="69">
        <v>2021</v>
      </c>
      <c r="R4" s="69">
        <v>2020</v>
      </c>
      <c r="S4" s="69">
        <v>2019</v>
      </c>
      <c r="T4" s="76" t="s">
        <v>56</v>
      </c>
      <c r="U4" s="76" t="s">
        <v>54</v>
      </c>
    </row>
    <row r="5" spans="1:45" x14ac:dyDescent="0.25">
      <c r="A5" s="49"/>
      <c r="B5" s="49"/>
      <c r="C5" s="77"/>
      <c r="D5" s="78"/>
      <c r="E5" s="78"/>
      <c r="F5" s="78"/>
      <c r="G5" s="78"/>
      <c r="H5" s="37"/>
      <c r="I5" s="54"/>
      <c r="J5" s="54"/>
      <c r="K5" s="54"/>
      <c r="L5" s="55"/>
      <c r="M5" s="54"/>
      <c r="N5" s="54"/>
      <c r="O5" s="37"/>
      <c r="P5" s="50"/>
      <c r="Q5" s="50"/>
      <c r="R5" s="50"/>
      <c r="S5" s="51"/>
      <c r="T5" s="50"/>
      <c r="U5" s="50"/>
    </row>
    <row r="6" spans="1:45" x14ac:dyDescent="0.25">
      <c r="A6" s="38" t="s">
        <v>3</v>
      </c>
      <c r="B6" s="79">
        <v>630402</v>
      </c>
      <c r="C6" s="79">
        <v>195290</v>
      </c>
      <c r="D6" s="79">
        <v>806386</v>
      </c>
      <c r="E6" s="79">
        <v>819358</v>
      </c>
      <c r="F6" s="110">
        <f>B6/C6-1</f>
        <v>2.2280301090685648</v>
      </c>
      <c r="G6" s="110">
        <f>B6/E6-1</f>
        <v>-0.23061470077792612</v>
      </c>
      <c r="H6" s="40"/>
      <c r="I6" s="63">
        <f>B6-P6</f>
        <v>619263</v>
      </c>
      <c r="J6" s="63">
        <f>C6-Q6</f>
        <v>195290</v>
      </c>
      <c r="K6" s="63">
        <f>D6-R6</f>
        <v>798938</v>
      </c>
      <c r="L6" s="63">
        <v>805464</v>
      </c>
      <c r="M6" s="112">
        <f>I6/J6-1</f>
        <v>2.170991858262072</v>
      </c>
      <c r="N6" s="112">
        <f>I6/L6-1</f>
        <v>-0.23117234289800659</v>
      </c>
      <c r="O6" s="37"/>
      <c r="P6" s="63">
        <v>11139</v>
      </c>
      <c r="Q6" s="63">
        <v>0</v>
      </c>
      <c r="R6" s="63">
        <v>7448</v>
      </c>
      <c r="S6" s="63">
        <v>13928</v>
      </c>
      <c r="T6" s="112"/>
      <c r="U6" s="112">
        <f>P6/S6-1</f>
        <v>-0.20024411257897756</v>
      </c>
    </row>
    <row r="7" spans="1:45" x14ac:dyDescent="0.25">
      <c r="A7" s="49" t="s">
        <v>4</v>
      </c>
      <c r="B7" s="80">
        <v>717400</v>
      </c>
      <c r="C7" s="80">
        <v>227402</v>
      </c>
      <c r="D7" s="80">
        <v>764506</v>
      </c>
      <c r="E7" s="80">
        <v>789523</v>
      </c>
      <c r="F7" s="111">
        <f t="shared" ref="F7:F18" si="0">B7/C7-1</f>
        <v>2.154765569344157</v>
      </c>
      <c r="G7" s="111">
        <f t="shared" ref="G7:G18" si="1">B7/E7-1</f>
        <v>-9.1350093664149146E-2</v>
      </c>
      <c r="H7" s="40"/>
      <c r="I7" s="64">
        <f>B7-P7</f>
        <v>704828</v>
      </c>
      <c r="J7" s="64">
        <f>C7-Q7</f>
        <v>227402</v>
      </c>
      <c r="K7" s="64">
        <f>D7-R7</f>
        <v>757521</v>
      </c>
      <c r="L7" s="64">
        <v>776564</v>
      </c>
      <c r="M7" s="113">
        <f t="shared" ref="M7:M18" si="2">I7/J7-1</f>
        <v>2.0994802156533363</v>
      </c>
      <c r="N7" s="113">
        <f t="shared" ref="N7:N18" si="3">I7/L7-1</f>
        <v>-9.2376159595345619E-2</v>
      </c>
      <c r="O7" s="40"/>
      <c r="P7" s="65">
        <v>12572</v>
      </c>
      <c r="Q7" s="65">
        <v>0</v>
      </c>
      <c r="R7" s="65">
        <v>6985</v>
      </c>
      <c r="S7" s="65">
        <v>12993</v>
      </c>
      <c r="T7" s="114"/>
      <c r="U7" s="114">
        <f t="shared" ref="U7:U18" si="4">P7/S7-1</f>
        <v>-3.2402062649118712E-2</v>
      </c>
    </row>
    <row r="8" spans="1:45" x14ac:dyDescent="0.25">
      <c r="A8" s="41" t="s">
        <v>5</v>
      </c>
      <c r="B8" s="41"/>
      <c r="C8" s="79">
        <v>385396</v>
      </c>
      <c r="D8" s="79">
        <v>337981</v>
      </c>
      <c r="E8" s="79">
        <v>923403</v>
      </c>
      <c r="F8" s="110">
        <f t="shared" si="0"/>
        <v>-1</v>
      </c>
      <c r="G8" s="110">
        <f t="shared" si="1"/>
        <v>-1</v>
      </c>
      <c r="H8" s="40"/>
      <c r="I8" s="63"/>
      <c r="J8" s="63">
        <f>C8-Q8</f>
        <v>381271</v>
      </c>
      <c r="K8" s="63">
        <f>D8-R8</f>
        <v>335168</v>
      </c>
      <c r="L8" s="63">
        <v>906776</v>
      </c>
      <c r="M8" s="112">
        <f t="shared" si="2"/>
        <v>-1</v>
      </c>
      <c r="N8" s="112">
        <f t="shared" si="3"/>
        <v>-1</v>
      </c>
      <c r="O8" s="40"/>
      <c r="P8" s="63"/>
      <c r="Q8" s="63">
        <v>4125</v>
      </c>
      <c r="R8" s="63">
        <v>2813</v>
      </c>
      <c r="S8" s="63">
        <v>16693</v>
      </c>
      <c r="T8" s="112">
        <f t="shared" ref="T7:T18" si="5">P8/Q8-1</f>
        <v>-1</v>
      </c>
      <c r="U8" s="112">
        <f t="shared" si="4"/>
        <v>-1</v>
      </c>
    </row>
    <row r="9" spans="1:45" x14ac:dyDescent="0.25">
      <c r="A9" s="49" t="s">
        <v>6</v>
      </c>
      <c r="B9" s="49"/>
      <c r="C9" s="80">
        <v>495592</v>
      </c>
      <c r="D9" s="80">
        <f>K9+R9</f>
        <v>25313</v>
      </c>
      <c r="E9" s="80">
        <v>899276</v>
      </c>
      <c r="F9" s="111">
        <f t="shared" si="0"/>
        <v>-1</v>
      </c>
      <c r="G9" s="111">
        <f t="shared" si="1"/>
        <v>-1</v>
      </c>
      <c r="H9" s="40"/>
      <c r="I9" s="64"/>
      <c r="J9" s="64">
        <v>25313</v>
      </c>
      <c r="K9" s="64">
        <v>25313</v>
      </c>
      <c r="L9" s="64">
        <f t="shared" ref="L9:L11" si="6">E9-S9</f>
        <v>880999</v>
      </c>
      <c r="M9" s="113">
        <f t="shared" si="2"/>
        <v>-1</v>
      </c>
      <c r="N9" s="113">
        <f t="shared" si="3"/>
        <v>-1</v>
      </c>
      <c r="O9" s="40"/>
      <c r="P9" s="65"/>
      <c r="Q9" s="65">
        <v>9099</v>
      </c>
      <c r="R9" s="65">
        <v>0</v>
      </c>
      <c r="S9" s="65">
        <v>18277</v>
      </c>
      <c r="T9" s="114">
        <f t="shared" si="5"/>
        <v>-1</v>
      </c>
      <c r="U9" s="114">
        <f t="shared" si="4"/>
        <v>-1</v>
      </c>
    </row>
    <row r="10" spans="1:45" x14ac:dyDescent="0.25">
      <c r="A10" s="38" t="s">
        <v>7</v>
      </c>
      <c r="B10" s="38"/>
      <c r="C10" s="79">
        <v>585735</v>
      </c>
      <c r="D10" s="79">
        <v>82342</v>
      </c>
      <c r="E10" s="79">
        <v>942872</v>
      </c>
      <c r="F10" s="110">
        <f t="shared" si="0"/>
        <v>-1</v>
      </c>
      <c r="G10" s="110">
        <f t="shared" si="1"/>
        <v>-1</v>
      </c>
      <c r="H10" s="40"/>
      <c r="I10" s="63"/>
      <c r="J10" s="63">
        <v>82342</v>
      </c>
      <c r="K10" s="63">
        <v>82342</v>
      </c>
      <c r="L10" s="63">
        <f t="shared" si="6"/>
        <v>923209</v>
      </c>
      <c r="M10" s="112">
        <f t="shared" si="2"/>
        <v>-1</v>
      </c>
      <c r="N10" s="112">
        <f t="shared" si="3"/>
        <v>-1</v>
      </c>
      <c r="O10" s="40"/>
      <c r="P10" s="63"/>
      <c r="Q10" s="63">
        <v>10653</v>
      </c>
      <c r="R10" s="63">
        <v>0</v>
      </c>
      <c r="S10" s="63">
        <v>19663</v>
      </c>
      <c r="T10" s="112">
        <f t="shared" si="5"/>
        <v>-1</v>
      </c>
      <c r="U10" s="112">
        <f t="shared" si="4"/>
        <v>-1</v>
      </c>
    </row>
    <row r="11" spans="1:45" x14ac:dyDescent="0.25">
      <c r="A11" s="49" t="s">
        <v>8</v>
      </c>
      <c r="B11" s="49"/>
      <c r="C11" s="80">
        <v>730144</v>
      </c>
      <c r="D11" s="80">
        <v>181486</v>
      </c>
      <c r="E11" s="80">
        <v>918913</v>
      </c>
      <c r="F11" s="111">
        <f t="shared" si="0"/>
        <v>-1</v>
      </c>
      <c r="G11" s="111">
        <f t="shared" si="1"/>
        <v>-1</v>
      </c>
      <c r="H11" s="40"/>
      <c r="I11" s="64"/>
      <c r="J11" s="64">
        <v>181486</v>
      </c>
      <c r="K11" s="64">
        <v>181486</v>
      </c>
      <c r="L11" s="64">
        <f t="shared" si="6"/>
        <v>902201</v>
      </c>
      <c r="M11" s="113">
        <f t="shared" si="2"/>
        <v>-1</v>
      </c>
      <c r="N11" s="113">
        <f t="shared" si="3"/>
        <v>-1</v>
      </c>
      <c r="O11" s="40"/>
      <c r="P11" s="65"/>
      <c r="Q11" s="65">
        <v>12078</v>
      </c>
      <c r="R11" s="65">
        <v>0</v>
      </c>
      <c r="S11" s="65">
        <v>16712</v>
      </c>
      <c r="T11" s="114">
        <f t="shared" si="5"/>
        <v>-1</v>
      </c>
      <c r="U11" s="114">
        <f t="shared" si="4"/>
        <v>-1</v>
      </c>
    </row>
    <row r="12" spans="1:45" x14ac:dyDescent="0.25">
      <c r="A12" s="38" t="s">
        <v>9</v>
      </c>
      <c r="B12" s="38"/>
      <c r="C12" s="79">
        <v>890185</v>
      </c>
      <c r="D12" s="79">
        <v>239120</v>
      </c>
      <c r="E12" s="79">
        <v>946111</v>
      </c>
      <c r="F12" s="110">
        <f t="shared" si="0"/>
        <v>-1</v>
      </c>
      <c r="G12" s="110">
        <f t="shared" si="1"/>
        <v>-1</v>
      </c>
      <c r="H12" s="40"/>
      <c r="I12" s="63"/>
      <c r="J12" s="63">
        <v>239120</v>
      </c>
      <c r="K12" s="63">
        <v>239120</v>
      </c>
      <c r="L12" s="63">
        <f t="shared" ref="L12:L17" si="7">E12-S12</f>
        <v>930107</v>
      </c>
      <c r="M12" s="112">
        <f t="shared" si="2"/>
        <v>-1</v>
      </c>
      <c r="N12" s="112">
        <f t="shared" si="3"/>
        <v>-1</v>
      </c>
      <c r="O12" s="40"/>
      <c r="P12" s="63"/>
      <c r="Q12" s="63">
        <v>11077</v>
      </c>
      <c r="R12" s="63">
        <v>0</v>
      </c>
      <c r="S12" s="63">
        <v>16004</v>
      </c>
      <c r="T12" s="112">
        <f t="shared" si="5"/>
        <v>-1</v>
      </c>
      <c r="U12" s="112">
        <f t="shared" si="4"/>
        <v>-1</v>
      </c>
    </row>
    <row r="13" spans="1:45" x14ac:dyDescent="0.25">
      <c r="A13" s="49" t="s">
        <v>10</v>
      </c>
      <c r="B13" s="49"/>
      <c r="C13" s="80">
        <v>831522</v>
      </c>
      <c r="D13" s="80">
        <v>266986</v>
      </c>
      <c r="E13" s="80">
        <v>942541</v>
      </c>
      <c r="F13" s="111">
        <f t="shared" si="0"/>
        <v>-1</v>
      </c>
      <c r="G13" s="111">
        <f t="shared" si="1"/>
        <v>-1</v>
      </c>
      <c r="H13" s="40"/>
      <c r="I13" s="64"/>
      <c r="J13" s="64">
        <v>266986</v>
      </c>
      <c r="K13" s="64">
        <v>266986</v>
      </c>
      <c r="L13" s="64">
        <f t="shared" si="7"/>
        <v>931877</v>
      </c>
      <c r="M13" s="113">
        <f t="shared" si="2"/>
        <v>-1</v>
      </c>
      <c r="N13" s="113">
        <f t="shared" si="3"/>
        <v>-1</v>
      </c>
      <c r="O13" s="40"/>
      <c r="P13" s="65"/>
      <c r="Q13" s="65">
        <v>9691</v>
      </c>
      <c r="R13" s="65">
        <v>0</v>
      </c>
      <c r="S13" s="65">
        <v>10664</v>
      </c>
      <c r="T13" s="114">
        <f t="shared" si="5"/>
        <v>-1</v>
      </c>
      <c r="U13" s="114">
        <f t="shared" si="4"/>
        <v>-1</v>
      </c>
    </row>
    <row r="14" spans="1:45" s="47" customFormat="1" x14ac:dyDescent="0.25">
      <c r="A14" s="43" t="s">
        <v>11</v>
      </c>
      <c r="B14" s="43"/>
      <c r="C14" s="79">
        <v>783737</v>
      </c>
      <c r="D14" s="79">
        <v>274813</v>
      </c>
      <c r="E14" s="79">
        <v>859174</v>
      </c>
      <c r="F14" s="110">
        <f t="shared" si="0"/>
        <v>-1</v>
      </c>
      <c r="G14" s="110">
        <f t="shared" si="1"/>
        <v>-1</v>
      </c>
      <c r="H14" s="40"/>
      <c r="I14" s="63"/>
      <c r="J14" s="63">
        <v>274813</v>
      </c>
      <c r="K14" s="63">
        <v>274813</v>
      </c>
      <c r="L14" s="63">
        <f t="shared" si="7"/>
        <v>846589</v>
      </c>
      <c r="M14" s="112">
        <f t="shared" si="2"/>
        <v>-1</v>
      </c>
      <c r="N14" s="112">
        <f t="shared" si="3"/>
        <v>-1</v>
      </c>
      <c r="O14" s="46"/>
      <c r="P14" s="63"/>
      <c r="Q14" s="63">
        <v>7967</v>
      </c>
      <c r="R14" s="63">
        <v>0</v>
      </c>
      <c r="S14" s="63">
        <v>12585</v>
      </c>
      <c r="T14" s="112">
        <f t="shared" si="5"/>
        <v>-1</v>
      </c>
      <c r="U14" s="112">
        <f t="shared" si="4"/>
        <v>-1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s="6" customFormat="1" x14ac:dyDescent="0.25">
      <c r="A15" s="49" t="s">
        <v>12</v>
      </c>
      <c r="B15" s="49"/>
      <c r="C15" s="80">
        <v>873422</v>
      </c>
      <c r="D15" s="80">
        <v>307865</v>
      </c>
      <c r="E15" s="80">
        <v>897873</v>
      </c>
      <c r="F15" s="111">
        <f t="shared" si="0"/>
        <v>-1</v>
      </c>
      <c r="G15" s="111">
        <f t="shared" si="1"/>
        <v>-1</v>
      </c>
      <c r="H15" s="40"/>
      <c r="I15" s="64"/>
      <c r="J15" s="64">
        <v>307865</v>
      </c>
      <c r="K15" s="64">
        <v>307865</v>
      </c>
      <c r="L15" s="64">
        <f t="shared" si="7"/>
        <v>886140</v>
      </c>
      <c r="M15" s="113">
        <f t="shared" si="2"/>
        <v>-1</v>
      </c>
      <c r="N15" s="113">
        <f t="shared" si="3"/>
        <v>-1</v>
      </c>
      <c r="O15" s="40"/>
      <c r="P15" s="65"/>
      <c r="Q15" s="65">
        <v>13284</v>
      </c>
      <c r="R15" s="65">
        <v>0</v>
      </c>
      <c r="S15" s="65">
        <v>11733</v>
      </c>
      <c r="T15" s="114">
        <f t="shared" si="5"/>
        <v>-1</v>
      </c>
      <c r="U15" s="114">
        <f t="shared" si="4"/>
        <v>-1</v>
      </c>
    </row>
    <row r="16" spans="1:45" x14ac:dyDescent="0.25">
      <c r="A16" s="41" t="s">
        <v>13</v>
      </c>
      <c r="B16" s="41"/>
      <c r="C16" s="95">
        <v>854393</v>
      </c>
      <c r="D16" s="79">
        <v>277020</v>
      </c>
      <c r="E16" s="79">
        <v>827140</v>
      </c>
      <c r="F16" s="110">
        <f t="shared" si="0"/>
        <v>-1</v>
      </c>
      <c r="G16" s="110">
        <f t="shared" si="1"/>
        <v>-1</v>
      </c>
      <c r="H16" s="40"/>
      <c r="I16" s="63"/>
      <c r="J16" s="63">
        <v>277020</v>
      </c>
      <c r="K16" s="63">
        <v>277020</v>
      </c>
      <c r="L16" s="63">
        <f t="shared" si="7"/>
        <v>814962</v>
      </c>
      <c r="M16" s="112">
        <f t="shared" si="2"/>
        <v>-1</v>
      </c>
      <c r="N16" s="112">
        <f t="shared" si="3"/>
        <v>-1</v>
      </c>
      <c r="O16" s="40"/>
      <c r="P16" s="63"/>
      <c r="Q16" s="63">
        <v>16153</v>
      </c>
      <c r="R16" s="63">
        <v>0</v>
      </c>
      <c r="S16" s="63">
        <v>12178</v>
      </c>
      <c r="T16" s="112">
        <f t="shared" si="5"/>
        <v>-1</v>
      </c>
      <c r="U16" s="112">
        <f t="shared" si="4"/>
        <v>-1</v>
      </c>
    </row>
    <row r="17" spans="1:21" x14ac:dyDescent="0.25">
      <c r="A17" s="49" t="s">
        <v>14</v>
      </c>
      <c r="B17" s="49"/>
      <c r="C17" s="80">
        <v>847671</v>
      </c>
      <c r="D17" s="80">
        <v>231033</v>
      </c>
      <c r="E17" s="80">
        <v>891492</v>
      </c>
      <c r="F17" s="111">
        <f t="shared" si="0"/>
        <v>-1</v>
      </c>
      <c r="G17" s="111">
        <f t="shared" si="1"/>
        <v>-1</v>
      </c>
      <c r="H17" s="40"/>
      <c r="I17" s="64"/>
      <c r="J17" s="64">
        <v>231033</v>
      </c>
      <c r="K17" s="64">
        <v>231033</v>
      </c>
      <c r="L17" s="64">
        <f t="shared" si="7"/>
        <v>878655</v>
      </c>
      <c r="M17" s="113">
        <f t="shared" si="2"/>
        <v>-1</v>
      </c>
      <c r="N17" s="113">
        <f t="shared" si="3"/>
        <v>-1</v>
      </c>
      <c r="O17" s="40"/>
      <c r="P17" s="65"/>
      <c r="Q17" s="65">
        <v>17919</v>
      </c>
      <c r="R17" s="65"/>
      <c r="S17" s="65">
        <v>12837</v>
      </c>
      <c r="T17" s="114">
        <f t="shared" si="5"/>
        <v>-1</v>
      </c>
      <c r="U17" s="114">
        <f t="shared" si="4"/>
        <v>-1</v>
      </c>
    </row>
    <row r="18" spans="1:21" x14ac:dyDescent="0.25">
      <c r="A18" s="38" t="s">
        <v>28</v>
      </c>
      <c r="B18" s="81">
        <f>SUM(B6:B7)</f>
        <v>1347802</v>
      </c>
      <c r="C18" s="81">
        <f>SUM(C6:C7)</f>
        <v>422692</v>
      </c>
      <c r="D18" s="81">
        <f t="shared" ref="D18:E18" si="8">SUM(D6:D7)</f>
        <v>1570892</v>
      </c>
      <c r="E18" s="81">
        <f t="shared" si="8"/>
        <v>1608881</v>
      </c>
      <c r="F18" s="110">
        <f>B18/C18-1</f>
        <v>2.1886148779726136</v>
      </c>
      <c r="G18" s="110">
        <f t="shared" si="1"/>
        <v>-0.16227365479485434</v>
      </c>
      <c r="H18" s="40"/>
      <c r="I18" s="81">
        <f>SUM(I6:I7)</f>
        <v>1324091</v>
      </c>
      <c r="J18" s="81">
        <f>SUM(J6:J7)</f>
        <v>422692</v>
      </c>
      <c r="K18" s="81">
        <f t="shared" ref="K18:L18" si="9">SUM(K6:K7)</f>
        <v>1556459</v>
      </c>
      <c r="L18" s="81">
        <f t="shared" si="9"/>
        <v>1582028</v>
      </c>
      <c r="M18" s="110">
        <f>I18/J18-1</f>
        <v>2.132519659704939</v>
      </c>
      <c r="N18" s="110">
        <f>I18/L18-1</f>
        <v>-0.16304199419984977</v>
      </c>
      <c r="O18" s="40"/>
      <c r="P18" s="81">
        <f>SUM(P6:P7)</f>
        <v>23711</v>
      </c>
      <c r="Q18" s="81">
        <f>SUM(Q6:Q7)</f>
        <v>0</v>
      </c>
      <c r="R18" s="81">
        <f t="shared" ref="R18:S18" si="10">SUM(R6:R7)</f>
        <v>14433</v>
      </c>
      <c r="S18" s="81">
        <f t="shared" si="10"/>
        <v>26921</v>
      </c>
      <c r="T18" s="110" t="e">
        <f>P18/Q18-1</f>
        <v>#DIV/0!</v>
      </c>
      <c r="U18" s="110">
        <f t="shared" si="4"/>
        <v>-0.11923776977081091</v>
      </c>
    </row>
    <row r="19" spans="1:21" x14ac:dyDescent="0.25">
      <c r="A19" s="37"/>
      <c r="B19" s="37"/>
      <c r="C19" s="37"/>
      <c r="D19" s="37"/>
      <c r="H19" s="40"/>
      <c r="I19" s="40"/>
      <c r="J19" s="40"/>
    </row>
    <row r="20" spans="1:21" x14ac:dyDescent="0.25">
      <c r="A20" s="42" t="s">
        <v>39</v>
      </c>
      <c r="B20" s="42"/>
      <c r="C20" s="42"/>
      <c r="D20" s="56"/>
      <c r="L20" s="39"/>
      <c r="M20" s="39"/>
      <c r="R20" s="39"/>
      <c r="S20" s="39"/>
    </row>
    <row r="21" spans="1:21" x14ac:dyDescent="0.25">
      <c r="A21" s="2" t="s">
        <v>49</v>
      </c>
      <c r="B21" s="2"/>
      <c r="C21" s="2"/>
      <c r="R21" s="39"/>
      <c r="S21" s="48"/>
    </row>
    <row r="23" spans="1:21" x14ac:dyDescent="0.25">
      <c r="D23" s="29"/>
      <c r="E23" s="29"/>
      <c r="F23" s="29"/>
      <c r="G23" s="29"/>
    </row>
  </sheetData>
  <mergeCells count="4">
    <mergeCell ref="A1:T1"/>
    <mergeCell ref="P3:U3"/>
    <mergeCell ref="I3:N3"/>
    <mergeCell ref="B3:G3"/>
  </mergeCells>
  <phoneticPr fontId="17" type="noConversion"/>
  <pageMargins left="0.7" right="0.7" top="0.75" bottom="0.75" header="0.3" footer="0.3"/>
  <pageSetup scale="5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  <pageSetUpPr fitToPage="1"/>
  </sheetPr>
  <dimension ref="A1:AS23"/>
  <sheetViews>
    <sheetView zoomScaleNormal="100" zoomScaleSheetLayoutView="100" workbookViewId="0">
      <selection activeCell="P6" sqref="P6:P7"/>
    </sheetView>
  </sheetViews>
  <sheetFormatPr baseColWidth="10" defaultColWidth="8.83203125" defaultRowHeight="19" x14ac:dyDescent="0.25"/>
  <cols>
    <col min="1" max="21" width="13.83203125" style="33" customWidth="1"/>
  </cols>
  <sheetData>
    <row r="1" spans="1:45" ht="34" customHeight="1" x14ac:dyDescent="0.2">
      <c r="A1" s="97" t="s">
        <v>18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66"/>
      <c r="V1" s="47"/>
      <c r="W1" s="47"/>
      <c r="X1" s="47"/>
      <c r="Y1" s="47"/>
      <c r="Z1" s="47"/>
      <c r="AA1" s="47"/>
    </row>
    <row r="2" spans="1:45" ht="15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s="47"/>
      <c r="W2" s="47"/>
      <c r="X2" s="47"/>
      <c r="Y2" s="47"/>
      <c r="Z2" s="47"/>
      <c r="AA2" s="47"/>
    </row>
    <row r="3" spans="1:45" x14ac:dyDescent="0.25">
      <c r="A3" s="34"/>
      <c r="B3" s="100" t="s">
        <v>47</v>
      </c>
      <c r="C3" s="100"/>
      <c r="D3" s="100"/>
      <c r="E3" s="100"/>
      <c r="F3" s="100"/>
      <c r="G3" s="101"/>
      <c r="H3" s="53"/>
      <c r="I3" s="104" t="s">
        <v>15</v>
      </c>
      <c r="J3" s="104"/>
      <c r="K3" s="104"/>
      <c r="L3" s="104"/>
      <c r="M3" s="104"/>
      <c r="N3" s="105"/>
      <c r="O3" s="73"/>
      <c r="P3" s="106" t="s">
        <v>16</v>
      </c>
      <c r="Q3" s="106"/>
      <c r="R3" s="106"/>
      <c r="S3" s="106"/>
      <c r="T3" s="106"/>
      <c r="U3" s="107"/>
    </row>
    <row r="4" spans="1:45" ht="40" x14ac:dyDescent="0.25">
      <c r="A4" s="35"/>
      <c r="B4" s="75">
        <v>2022</v>
      </c>
      <c r="C4" s="75">
        <v>2021</v>
      </c>
      <c r="D4" s="75">
        <v>2020</v>
      </c>
      <c r="E4" s="75">
        <v>2019</v>
      </c>
      <c r="F4" s="76" t="s">
        <v>56</v>
      </c>
      <c r="G4" s="76" t="s">
        <v>54</v>
      </c>
      <c r="H4" s="37"/>
      <c r="I4" s="69">
        <v>2022</v>
      </c>
      <c r="J4" s="69">
        <v>2021</v>
      </c>
      <c r="K4" s="69">
        <v>2020</v>
      </c>
      <c r="L4" s="69">
        <v>2019</v>
      </c>
      <c r="M4" s="76" t="s">
        <v>56</v>
      </c>
      <c r="N4" s="76" t="s">
        <v>54</v>
      </c>
      <c r="O4" s="67"/>
      <c r="P4" s="69">
        <v>2022</v>
      </c>
      <c r="Q4" s="69">
        <v>2021</v>
      </c>
      <c r="R4" s="69">
        <v>2020</v>
      </c>
      <c r="S4" s="69">
        <v>2019</v>
      </c>
      <c r="T4" s="76" t="s">
        <v>56</v>
      </c>
      <c r="U4" s="76" t="s">
        <v>54</v>
      </c>
    </row>
    <row r="5" spans="1:45" x14ac:dyDescent="0.25">
      <c r="A5" s="49"/>
      <c r="B5" s="49"/>
      <c r="C5" s="77"/>
      <c r="D5" s="78"/>
      <c r="E5" s="78"/>
      <c r="F5" s="78"/>
      <c r="G5" s="78"/>
      <c r="H5" s="37"/>
      <c r="I5" s="54"/>
      <c r="J5" s="54"/>
      <c r="K5" s="54"/>
      <c r="L5" s="55"/>
      <c r="M5" s="54"/>
      <c r="N5" s="54"/>
      <c r="O5" s="37"/>
      <c r="P5" s="50"/>
      <c r="Q5" s="50"/>
      <c r="R5" s="50"/>
      <c r="S5" s="51"/>
      <c r="T5" s="50"/>
      <c r="U5" s="50"/>
    </row>
    <row r="6" spans="1:45" x14ac:dyDescent="0.25">
      <c r="A6" s="38" t="s">
        <v>3</v>
      </c>
      <c r="B6" s="79">
        <v>593240</v>
      </c>
      <c r="C6" s="79">
        <v>270925</v>
      </c>
      <c r="D6" s="79">
        <v>905817</v>
      </c>
      <c r="E6" s="79">
        <v>954160</v>
      </c>
      <c r="F6" s="110">
        <f>B6/C6-1</f>
        <v>1.1896834917412566</v>
      </c>
      <c r="G6" s="110">
        <f>B6/E6-1</f>
        <v>-0.37825941141946839</v>
      </c>
      <c r="H6" s="40"/>
      <c r="I6" s="63">
        <f>B6-P6</f>
        <v>575446</v>
      </c>
      <c r="J6" s="63">
        <f>C6-Q6</f>
        <v>258040</v>
      </c>
      <c r="K6" s="63">
        <f>D6-R6</f>
        <v>873145</v>
      </c>
      <c r="L6" s="63">
        <f>E6-S6</f>
        <v>905745</v>
      </c>
      <c r="M6" s="112">
        <f>I6/J6-1</f>
        <v>1.2300651061850876</v>
      </c>
      <c r="N6" s="112">
        <f>I6/L6-1</f>
        <v>-0.36467107188005454</v>
      </c>
      <c r="O6" s="37"/>
      <c r="P6" s="63">
        <v>17794</v>
      </c>
      <c r="Q6" s="63">
        <v>12885</v>
      </c>
      <c r="R6" s="63">
        <v>32672</v>
      </c>
      <c r="S6" s="63">
        <v>48415</v>
      </c>
      <c r="T6" s="112">
        <f>P6/Q6-1</f>
        <v>0.38098564221963516</v>
      </c>
      <c r="U6" s="112">
        <f>P6/S6-1</f>
        <v>-0.63246927605081071</v>
      </c>
    </row>
    <row r="7" spans="1:45" x14ac:dyDescent="0.25">
      <c r="A7" s="49" t="s">
        <v>4</v>
      </c>
      <c r="B7" s="116">
        <v>667483</v>
      </c>
      <c r="C7" s="80">
        <v>305463</v>
      </c>
      <c r="D7" s="80">
        <v>845576</v>
      </c>
      <c r="E7" s="80">
        <v>881204</v>
      </c>
      <c r="F7" s="111">
        <f t="shared" ref="F7:F18" si="0">B7/C7-1</f>
        <v>1.185151720502974</v>
      </c>
      <c r="G7" s="111">
        <f t="shared" ref="G7:G18" si="1">B7/E7-1</f>
        <v>-0.24253294356357891</v>
      </c>
      <c r="H7" s="40"/>
      <c r="I7" s="64">
        <f>B7-P7</f>
        <v>654345</v>
      </c>
      <c r="J7" s="64">
        <f>C7-Q7</f>
        <v>298878</v>
      </c>
      <c r="K7" s="64">
        <f>D7-R7</f>
        <v>818992</v>
      </c>
      <c r="L7" s="64">
        <f>E7-S7</f>
        <v>838441</v>
      </c>
      <c r="M7" s="113">
        <f t="shared" ref="M7:M18" si="2">I7/J7-1</f>
        <v>1.1893381245859516</v>
      </c>
      <c r="N7" s="113">
        <f t="shared" ref="N7:N18" si="3">I7/L7-1</f>
        <v>-0.21956941514071948</v>
      </c>
      <c r="O7" s="40"/>
      <c r="P7" s="65">
        <v>13138</v>
      </c>
      <c r="Q7" s="65">
        <v>6585</v>
      </c>
      <c r="R7" s="65">
        <v>26584</v>
      </c>
      <c r="S7" s="65">
        <v>42763</v>
      </c>
      <c r="T7" s="114">
        <f t="shared" ref="T7:T18" si="4">P7/Q7-1</f>
        <v>0.99514047076689449</v>
      </c>
      <c r="U7" s="114">
        <f t="shared" ref="U7:U18" si="5">P7/S7-1</f>
        <v>-0.69277178869583511</v>
      </c>
    </row>
    <row r="8" spans="1:45" x14ac:dyDescent="0.25">
      <c r="A8" s="41" t="s">
        <v>5</v>
      </c>
      <c r="B8" s="41"/>
      <c r="C8" s="79">
        <v>487610</v>
      </c>
      <c r="D8" s="79">
        <v>451799</v>
      </c>
      <c r="E8" s="79">
        <v>1095906</v>
      </c>
      <c r="F8" s="110">
        <f t="shared" si="0"/>
        <v>-1</v>
      </c>
      <c r="G8" s="110">
        <f t="shared" si="1"/>
        <v>-1</v>
      </c>
      <c r="H8" s="40"/>
      <c r="I8" s="63"/>
      <c r="J8" s="63">
        <f>C8-Q8</f>
        <v>479291</v>
      </c>
      <c r="K8" s="63">
        <f>D8-R8</f>
        <v>431602</v>
      </c>
      <c r="L8" s="63">
        <f>E8-S8</f>
        <v>1043674</v>
      </c>
      <c r="M8" s="112">
        <f t="shared" si="2"/>
        <v>-1</v>
      </c>
      <c r="N8" s="112">
        <f t="shared" si="3"/>
        <v>-1</v>
      </c>
      <c r="O8" s="40"/>
      <c r="P8" s="63"/>
      <c r="Q8" s="63">
        <v>8319</v>
      </c>
      <c r="R8" s="63">
        <v>20197</v>
      </c>
      <c r="S8" s="63">
        <v>52232</v>
      </c>
      <c r="T8" s="112">
        <f t="shared" si="4"/>
        <v>-1</v>
      </c>
      <c r="U8" s="112">
        <f t="shared" si="5"/>
        <v>-1</v>
      </c>
    </row>
    <row r="9" spans="1:45" x14ac:dyDescent="0.25">
      <c r="A9" s="49" t="s">
        <v>6</v>
      </c>
      <c r="B9" s="49"/>
      <c r="C9" s="80">
        <v>593366</v>
      </c>
      <c r="D9" s="80">
        <f>K9+R9</f>
        <v>45819</v>
      </c>
      <c r="E9" s="80">
        <v>1136370</v>
      </c>
      <c r="F9" s="111">
        <f t="shared" si="0"/>
        <v>-1</v>
      </c>
      <c r="G9" s="111">
        <f t="shared" si="1"/>
        <v>-1</v>
      </c>
      <c r="H9" s="40"/>
      <c r="I9" s="64"/>
      <c r="J9" s="64">
        <f t="shared" ref="J9:J14" si="6">C9-Q9</f>
        <v>582063</v>
      </c>
      <c r="K9" s="64">
        <v>41910</v>
      </c>
      <c r="L9" s="64">
        <f t="shared" ref="L9:L14" si="7">E9-S9</f>
        <v>1064621</v>
      </c>
      <c r="M9" s="113">
        <f t="shared" si="2"/>
        <v>-1</v>
      </c>
      <c r="N9" s="113">
        <f t="shared" si="3"/>
        <v>-1</v>
      </c>
      <c r="O9" s="40"/>
      <c r="P9" s="65"/>
      <c r="Q9" s="65">
        <v>11303</v>
      </c>
      <c r="R9" s="65">
        <v>3909</v>
      </c>
      <c r="S9" s="65">
        <v>71749</v>
      </c>
      <c r="T9" s="114">
        <f t="shared" si="4"/>
        <v>-1</v>
      </c>
      <c r="U9" s="114">
        <f t="shared" si="5"/>
        <v>-1</v>
      </c>
    </row>
    <row r="10" spans="1:45" x14ac:dyDescent="0.25">
      <c r="A10" s="38" t="s">
        <v>7</v>
      </c>
      <c r="B10" s="38"/>
      <c r="C10" s="79">
        <v>733293</v>
      </c>
      <c r="D10" s="79">
        <v>105593</v>
      </c>
      <c r="E10" s="79">
        <v>1204966</v>
      </c>
      <c r="F10" s="110">
        <f t="shared" si="0"/>
        <v>-1</v>
      </c>
      <c r="G10" s="110">
        <f t="shared" si="1"/>
        <v>-1</v>
      </c>
      <c r="H10" s="40"/>
      <c r="I10" s="63"/>
      <c r="J10" s="63">
        <f t="shared" si="6"/>
        <v>720482</v>
      </c>
      <c r="K10" s="63">
        <v>105593</v>
      </c>
      <c r="L10" s="63">
        <f t="shared" si="7"/>
        <v>1131736</v>
      </c>
      <c r="M10" s="112">
        <f t="shared" si="2"/>
        <v>-1</v>
      </c>
      <c r="N10" s="112">
        <f t="shared" si="3"/>
        <v>-1</v>
      </c>
      <c r="O10" s="40"/>
      <c r="P10" s="63"/>
      <c r="Q10" s="63">
        <v>12811</v>
      </c>
      <c r="R10" s="63">
        <v>0</v>
      </c>
      <c r="S10" s="63">
        <v>73230</v>
      </c>
      <c r="T10" s="112">
        <f t="shared" si="4"/>
        <v>-1</v>
      </c>
      <c r="U10" s="112">
        <f t="shared" si="5"/>
        <v>-1</v>
      </c>
    </row>
    <row r="11" spans="1:45" x14ac:dyDescent="0.25">
      <c r="A11" s="49" t="s">
        <v>8</v>
      </c>
      <c r="B11" s="49"/>
      <c r="C11" s="80">
        <v>815935</v>
      </c>
      <c r="D11" s="80">
        <v>255052</v>
      </c>
      <c r="E11" s="80">
        <v>1221824</v>
      </c>
      <c r="F11" s="111">
        <f t="shared" si="0"/>
        <v>-1</v>
      </c>
      <c r="G11" s="111">
        <f t="shared" si="1"/>
        <v>-1</v>
      </c>
      <c r="H11" s="40"/>
      <c r="I11" s="64"/>
      <c r="J11" s="64">
        <f>C11-Q11</f>
        <v>802141</v>
      </c>
      <c r="K11" s="64">
        <v>255052</v>
      </c>
      <c r="L11" s="64">
        <f t="shared" si="7"/>
        <v>1142830</v>
      </c>
      <c r="M11" s="113">
        <f t="shared" si="2"/>
        <v>-1</v>
      </c>
      <c r="N11" s="113">
        <f t="shared" si="3"/>
        <v>-1</v>
      </c>
      <c r="O11" s="40"/>
      <c r="P11" s="65"/>
      <c r="Q11" s="65">
        <v>13794</v>
      </c>
      <c r="R11" s="65">
        <v>0</v>
      </c>
      <c r="S11" s="65">
        <v>78994</v>
      </c>
      <c r="T11" s="114">
        <f t="shared" si="4"/>
        <v>-1</v>
      </c>
      <c r="U11" s="114">
        <f t="shared" si="5"/>
        <v>-1</v>
      </c>
    </row>
    <row r="12" spans="1:45" x14ac:dyDescent="0.25">
      <c r="A12" s="38" t="s">
        <v>9</v>
      </c>
      <c r="B12" s="38"/>
      <c r="C12" s="79">
        <v>893736</v>
      </c>
      <c r="D12" s="79">
        <v>341831</v>
      </c>
      <c r="E12" s="79">
        <v>1233165</v>
      </c>
      <c r="F12" s="110">
        <f t="shared" si="0"/>
        <v>-1</v>
      </c>
      <c r="G12" s="110">
        <f t="shared" si="1"/>
        <v>-1</v>
      </c>
      <c r="H12" s="40"/>
      <c r="I12" s="63"/>
      <c r="J12" s="63">
        <f t="shared" si="6"/>
        <v>878398</v>
      </c>
      <c r="K12" s="63">
        <f t="shared" ref="K12:K17" si="8">D12-R12</f>
        <v>333422</v>
      </c>
      <c r="L12" s="63">
        <f t="shared" si="7"/>
        <v>1150194</v>
      </c>
      <c r="M12" s="112">
        <f t="shared" si="2"/>
        <v>-1</v>
      </c>
      <c r="N12" s="112">
        <f t="shared" si="3"/>
        <v>-1</v>
      </c>
      <c r="O12" s="40"/>
      <c r="P12" s="63"/>
      <c r="Q12" s="63">
        <v>15338</v>
      </c>
      <c r="R12" s="63">
        <v>8409</v>
      </c>
      <c r="S12" s="63">
        <v>82971</v>
      </c>
      <c r="T12" s="112">
        <f t="shared" si="4"/>
        <v>-1</v>
      </c>
      <c r="U12" s="112">
        <f t="shared" si="5"/>
        <v>-1</v>
      </c>
    </row>
    <row r="13" spans="1:45" x14ac:dyDescent="0.25">
      <c r="A13" s="49" t="s">
        <v>10</v>
      </c>
      <c r="B13" s="49"/>
      <c r="C13" s="80">
        <v>814738</v>
      </c>
      <c r="D13" s="80">
        <v>313296</v>
      </c>
      <c r="E13" s="80">
        <v>1189199</v>
      </c>
      <c r="F13" s="111">
        <f t="shared" si="0"/>
        <v>-1</v>
      </c>
      <c r="G13" s="111">
        <f t="shared" si="1"/>
        <v>-1</v>
      </c>
      <c r="H13" s="40"/>
      <c r="I13" s="64"/>
      <c r="J13" s="64">
        <f t="shared" si="6"/>
        <v>799277</v>
      </c>
      <c r="K13" s="64">
        <f t="shared" si="8"/>
        <v>305012</v>
      </c>
      <c r="L13" s="64">
        <f t="shared" si="7"/>
        <v>1114139</v>
      </c>
      <c r="M13" s="113">
        <f t="shared" si="2"/>
        <v>-1</v>
      </c>
      <c r="N13" s="113">
        <f t="shared" si="3"/>
        <v>-1</v>
      </c>
      <c r="O13" s="40"/>
      <c r="P13" s="65"/>
      <c r="Q13" s="65">
        <v>15461</v>
      </c>
      <c r="R13" s="65">
        <v>8284</v>
      </c>
      <c r="S13" s="65">
        <v>75060</v>
      </c>
      <c r="T13" s="114">
        <f t="shared" si="4"/>
        <v>-1</v>
      </c>
      <c r="U13" s="114">
        <f t="shared" si="5"/>
        <v>-1</v>
      </c>
    </row>
    <row r="14" spans="1:45" s="47" customFormat="1" x14ac:dyDescent="0.25">
      <c r="A14" s="43" t="s">
        <v>11</v>
      </c>
      <c r="B14" s="43"/>
      <c r="C14" s="79">
        <v>762579</v>
      </c>
      <c r="D14" s="79">
        <v>320462</v>
      </c>
      <c r="E14" s="79">
        <v>1125752</v>
      </c>
      <c r="F14" s="110">
        <f t="shared" si="0"/>
        <v>-1</v>
      </c>
      <c r="G14" s="110">
        <f t="shared" si="1"/>
        <v>-1</v>
      </c>
      <c r="H14" s="40"/>
      <c r="I14" s="63"/>
      <c r="J14" s="63">
        <f t="shared" si="6"/>
        <v>750656</v>
      </c>
      <c r="K14" s="63">
        <f t="shared" si="8"/>
        <v>312315</v>
      </c>
      <c r="L14" s="63">
        <f t="shared" si="7"/>
        <v>1062476</v>
      </c>
      <c r="M14" s="112">
        <f t="shared" si="2"/>
        <v>-1</v>
      </c>
      <c r="N14" s="112">
        <f t="shared" si="3"/>
        <v>-1</v>
      </c>
      <c r="O14" s="46"/>
      <c r="P14" s="63"/>
      <c r="Q14" s="63">
        <v>11923</v>
      </c>
      <c r="R14" s="63">
        <v>8147</v>
      </c>
      <c r="S14" s="63">
        <v>63276</v>
      </c>
      <c r="T14" s="112">
        <f>P14/Q14-1</f>
        <v>-1</v>
      </c>
      <c r="U14" s="112">
        <f t="shared" si="5"/>
        <v>-1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s="6" customFormat="1" x14ac:dyDescent="0.25">
      <c r="A15" s="49" t="s">
        <v>12</v>
      </c>
      <c r="B15" s="49"/>
      <c r="C15" s="80">
        <v>825833</v>
      </c>
      <c r="D15" s="80">
        <v>363952</v>
      </c>
      <c r="E15" s="80">
        <v>1124507</v>
      </c>
      <c r="F15" s="111">
        <f t="shared" si="0"/>
        <v>-1</v>
      </c>
      <c r="G15" s="111">
        <f t="shared" si="1"/>
        <v>-1</v>
      </c>
      <c r="H15" s="40"/>
      <c r="I15" s="64"/>
      <c r="J15" s="64">
        <f>C15-Q15</f>
        <v>813004</v>
      </c>
      <c r="K15" s="64">
        <f t="shared" si="8"/>
        <v>354367</v>
      </c>
      <c r="L15" s="64">
        <f>E15-S15</f>
        <v>1059853</v>
      </c>
      <c r="M15" s="113">
        <f t="shared" si="2"/>
        <v>-1</v>
      </c>
      <c r="N15" s="113">
        <f t="shared" si="3"/>
        <v>-1</v>
      </c>
      <c r="O15" s="40"/>
      <c r="P15" s="65"/>
      <c r="Q15" s="65">
        <v>12829</v>
      </c>
      <c r="R15" s="65">
        <v>9585</v>
      </c>
      <c r="S15" s="65">
        <v>64654</v>
      </c>
      <c r="T15" s="114">
        <f t="shared" si="4"/>
        <v>-1</v>
      </c>
      <c r="U15" s="114">
        <f t="shared" si="5"/>
        <v>-1</v>
      </c>
    </row>
    <row r="16" spans="1:45" x14ac:dyDescent="0.25">
      <c r="A16" s="41" t="s">
        <v>13</v>
      </c>
      <c r="B16" s="41"/>
      <c r="C16" s="95">
        <v>820305</v>
      </c>
      <c r="D16" s="79">
        <v>352430</v>
      </c>
      <c r="E16" s="79">
        <v>1066656</v>
      </c>
      <c r="F16" s="110">
        <f t="shared" si="0"/>
        <v>-1</v>
      </c>
      <c r="G16" s="110">
        <f t="shared" si="1"/>
        <v>-1</v>
      </c>
      <c r="H16" s="40"/>
      <c r="I16" s="63"/>
      <c r="J16" s="63">
        <f>C16-Q16</f>
        <v>807359</v>
      </c>
      <c r="K16" s="63">
        <f t="shared" si="8"/>
        <v>340364</v>
      </c>
      <c r="L16" s="63">
        <f>E16-S16</f>
        <v>1028898</v>
      </c>
      <c r="M16" s="112">
        <f t="shared" si="2"/>
        <v>-1</v>
      </c>
      <c r="N16" s="112">
        <f t="shared" si="3"/>
        <v>-1</v>
      </c>
      <c r="O16" s="40"/>
      <c r="P16" s="63"/>
      <c r="Q16" s="63">
        <v>12946</v>
      </c>
      <c r="R16" s="63">
        <v>12066</v>
      </c>
      <c r="S16" s="63">
        <v>37758</v>
      </c>
      <c r="T16" s="112">
        <f t="shared" si="4"/>
        <v>-1</v>
      </c>
      <c r="U16" s="112">
        <f t="shared" si="5"/>
        <v>-1</v>
      </c>
    </row>
    <row r="17" spans="1:21" x14ac:dyDescent="0.25">
      <c r="A17" s="49" t="s">
        <v>14</v>
      </c>
      <c r="B17" s="49"/>
      <c r="C17" s="80">
        <v>414984</v>
      </c>
      <c r="D17" s="80">
        <v>320399</v>
      </c>
      <c r="E17" s="80">
        <v>1144702</v>
      </c>
      <c r="F17" s="111">
        <f t="shared" si="0"/>
        <v>-1</v>
      </c>
      <c r="G17" s="111">
        <f t="shared" si="1"/>
        <v>-1</v>
      </c>
      <c r="H17" s="40"/>
      <c r="I17" s="64"/>
      <c r="J17" s="64">
        <f>C17-Q17</f>
        <v>401997</v>
      </c>
      <c r="K17" s="64">
        <f t="shared" si="8"/>
        <v>311328</v>
      </c>
      <c r="L17" s="64">
        <f>E17-S17</f>
        <v>1099859</v>
      </c>
      <c r="M17" s="113">
        <f t="shared" si="2"/>
        <v>-1</v>
      </c>
      <c r="N17" s="113">
        <f t="shared" si="3"/>
        <v>-1</v>
      </c>
      <c r="O17" s="40"/>
      <c r="P17" s="65"/>
      <c r="Q17" s="65">
        <v>12987</v>
      </c>
      <c r="R17" s="65">
        <v>9071</v>
      </c>
      <c r="S17" s="65">
        <v>44843</v>
      </c>
      <c r="T17" s="114">
        <f t="shared" si="4"/>
        <v>-1</v>
      </c>
      <c r="U17" s="114">
        <f t="shared" si="5"/>
        <v>-1</v>
      </c>
    </row>
    <row r="18" spans="1:21" x14ac:dyDescent="0.25">
      <c r="A18" s="38" t="s">
        <v>35</v>
      </c>
      <c r="B18" s="81">
        <f>SUM(B6:B7)</f>
        <v>1260723</v>
      </c>
      <c r="C18" s="81">
        <f>SUM(C6:C7)</f>
        <v>576388</v>
      </c>
      <c r="D18" s="81">
        <f t="shared" ref="D18:E18" si="9">SUM(D6:D7)</f>
        <v>1751393</v>
      </c>
      <c r="E18" s="81">
        <f t="shared" si="9"/>
        <v>1835364</v>
      </c>
      <c r="F18" s="110">
        <f>B18/C18-1</f>
        <v>1.187281830988848</v>
      </c>
      <c r="G18" s="110">
        <f t="shared" si="1"/>
        <v>-0.31309375143023399</v>
      </c>
      <c r="H18" s="40"/>
      <c r="I18" s="81">
        <f>SUM(I6:I7)</f>
        <v>1229791</v>
      </c>
      <c r="J18" s="81">
        <f>SUM(J6:J7)</f>
        <v>556918</v>
      </c>
      <c r="K18" s="81">
        <f t="shared" ref="K18:L18" si="10">SUM(K6:K7)</f>
        <v>1692137</v>
      </c>
      <c r="L18" s="81">
        <f t="shared" si="10"/>
        <v>1744186</v>
      </c>
      <c r="M18" s="110">
        <f>I18/J18-1</f>
        <v>1.2082083897449896</v>
      </c>
      <c r="N18" s="110">
        <f t="shared" si="3"/>
        <v>-0.29491980786452821</v>
      </c>
      <c r="O18" s="40"/>
      <c r="P18" s="81">
        <f>SUM(P6:P7)</f>
        <v>30932</v>
      </c>
      <c r="Q18" s="81">
        <f>SUM(Q6:Q7)</f>
        <v>19470</v>
      </c>
      <c r="R18" s="81">
        <f t="shared" ref="R18:S18" si="11">SUM(R6:R7)</f>
        <v>59256</v>
      </c>
      <c r="S18" s="81">
        <f t="shared" si="11"/>
        <v>91178</v>
      </c>
      <c r="T18" s="110">
        <f>P18/Q18-1</f>
        <v>0.58870056497175138</v>
      </c>
      <c r="U18" s="110">
        <f t="shared" si="5"/>
        <v>-0.66075149707166203</v>
      </c>
    </row>
    <row r="19" spans="1:21" x14ac:dyDescent="0.25">
      <c r="A19" s="37"/>
      <c r="B19" s="37"/>
      <c r="C19" s="37"/>
      <c r="D19" s="37"/>
      <c r="H19" s="40"/>
      <c r="I19" s="40"/>
      <c r="J19" s="40"/>
      <c r="T19" s="33" t="s">
        <v>48</v>
      </c>
    </row>
    <row r="20" spans="1:21" x14ac:dyDescent="0.25">
      <c r="A20" s="42" t="s">
        <v>40</v>
      </c>
      <c r="B20" s="42"/>
      <c r="C20" s="42"/>
      <c r="D20" s="56"/>
      <c r="L20" s="39"/>
      <c r="M20" s="39"/>
      <c r="R20" s="39"/>
      <c r="S20" s="39"/>
    </row>
    <row r="21" spans="1:21" x14ac:dyDescent="0.25">
      <c r="A21" s="2" t="s">
        <v>49</v>
      </c>
      <c r="B21" s="2"/>
      <c r="C21" s="2"/>
      <c r="R21" s="39"/>
      <c r="S21" s="48"/>
    </row>
    <row r="23" spans="1:21" x14ac:dyDescent="0.25">
      <c r="D23" s="29"/>
      <c r="E23" s="29"/>
      <c r="F23" s="29"/>
      <c r="G23" s="29"/>
    </row>
  </sheetData>
  <mergeCells count="4">
    <mergeCell ref="A1:T1"/>
    <mergeCell ref="B3:G3"/>
    <mergeCell ref="I3:N3"/>
    <mergeCell ref="P3:U3"/>
  </mergeCells>
  <phoneticPr fontId="17" type="noConversion"/>
  <pageMargins left="0.7" right="0.7" top="0.75" bottom="0.75" header="0.3" footer="0.3"/>
  <pageSetup scale="5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E6AF00"/>
    <pageSetUpPr fitToPage="1"/>
  </sheetPr>
  <dimension ref="A1:AS23"/>
  <sheetViews>
    <sheetView topLeftCell="C1" zoomScaleNormal="100" zoomScaleSheetLayoutView="90" workbookViewId="0">
      <selection activeCell="P6" sqref="P6:P7"/>
    </sheetView>
  </sheetViews>
  <sheetFormatPr baseColWidth="10" defaultColWidth="8.83203125" defaultRowHeight="19" x14ac:dyDescent="0.25"/>
  <cols>
    <col min="1" max="21" width="13.83203125" style="33" customWidth="1"/>
  </cols>
  <sheetData>
    <row r="1" spans="1:45" ht="34" customHeight="1" x14ac:dyDescent="0.2">
      <c r="A1" s="97" t="s">
        <v>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66"/>
      <c r="V1" s="47"/>
      <c r="W1" s="47"/>
      <c r="X1" s="47"/>
      <c r="Y1" s="47"/>
      <c r="Z1" s="47"/>
      <c r="AA1" s="47"/>
    </row>
    <row r="2" spans="1:45" ht="15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s="47"/>
      <c r="W2" s="47"/>
      <c r="X2" s="47"/>
      <c r="Y2" s="47"/>
      <c r="Z2" s="47"/>
      <c r="AA2" s="47"/>
    </row>
    <row r="3" spans="1:45" x14ac:dyDescent="0.25">
      <c r="A3" s="34"/>
      <c r="B3" s="100" t="s">
        <v>47</v>
      </c>
      <c r="C3" s="100"/>
      <c r="D3" s="100"/>
      <c r="E3" s="100"/>
      <c r="F3" s="100"/>
      <c r="G3" s="101"/>
      <c r="H3" s="53"/>
      <c r="I3" s="104" t="s">
        <v>15</v>
      </c>
      <c r="J3" s="104"/>
      <c r="K3" s="104"/>
      <c r="L3" s="104"/>
      <c r="M3" s="104"/>
      <c r="N3" s="105"/>
      <c r="O3" s="73"/>
      <c r="P3" s="106" t="s">
        <v>16</v>
      </c>
      <c r="Q3" s="106"/>
      <c r="R3" s="106"/>
      <c r="S3" s="106"/>
      <c r="T3" s="106"/>
      <c r="U3" s="107"/>
    </row>
    <row r="4" spans="1:45" ht="40" x14ac:dyDescent="0.25">
      <c r="A4" s="35"/>
      <c r="B4" s="75">
        <v>2022</v>
      </c>
      <c r="C4" s="75">
        <v>2021</v>
      </c>
      <c r="D4" s="75">
        <v>2020</v>
      </c>
      <c r="E4" s="75">
        <v>2019</v>
      </c>
      <c r="F4" s="76" t="s">
        <v>56</v>
      </c>
      <c r="G4" s="76" t="s">
        <v>54</v>
      </c>
      <c r="H4" s="37"/>
      <c r="I4" s="69">
        <v>2022</v>
      </c>
      <c r="J4" s="69">
        <v>2021</v>
      </c>
      <c r="K4" s="69">
        <v>2020</v>
      </c>
      <c r="L4" s="69">
        <v>2019</v>
      </c>
      <c r="M4" s="76" t="s">
        <v>56</v>
      </c>
      <c r="N4" s="76" t="s">
        <v>54</v>
      </c>
      <c r="O4" s="67"/>
      <c r="P4" s="69">
        <v>2022</v>
      </c>
      <c r="Q4" s="69">
        <v>2021</v>
      </c>
      <c r="R4" s="69">
        <v>2020</v>
      </c>
      <c r="S4" s="69">
        <v>2019</v>
      </c>
      <c r="T4" s="76" t="s">
        <v>56</v>
      </c>
      <c r="U4" s="76" t="s">
        <v>54</v>
      </c>
    </row>
    <row r="5" spans="1:45" x14ac:dyDescent="0.25">
      <c r="A5" s="49"/>
      <c r="B5" s="49"/>
      <c r="C5" s="77"/>
      <c r="D5" s="78"/>
      <c r="E5" s="78"/>
      <c r="F5" s="78"/>
      <c r="G5" s="78"/>
      <c r="H5" s="37"/>
      <c r="I5" s="54"/>
      <c r="J5" s="54"/>
      <c r="K5" s="54"/>
      <c r="L5" s="55"/>
      <c r="M5" s="54"/>
      <c r="N5" s="54"/>
      <c r="O5" s="37"/>
      <c r="P5" s="50"/>
      <c r="Q5" s="50"/>
      <c r="R5" s="50"/>
      <c r="S5" s="51"/>
      <c r="T5" s="50"/>
      <c r="U5" s="50"/>
    </row>
    <row r="6" spans="1:45" x14ac:dyDescent="0.25">
      <c r="A6" s="38" t="s">
        <v>3</v>
      </c>
      <c r="B6" s="79">
        <v>711300</v>
      </c>
      <c r="C6" s="79">
        <v>352548</v>
      </c>
      <c r="D6" s="79">
        <f>SUM(K6,R6)</f>
        <v>990342</v>
      </c>
      <c r="E6" s="79">
        <f>SUM(L6,S6)</f>
        <v>872332</v>
      </c>
      <c r="F6" s="110">
        <f>B6/C6-1</f>
        <v>1.0175976037305556</v>
      </c>
      <c r="G6" s="110">
        <f>B6/E6-1</f>
        <v>-0.18459944149704466</v>
      </c>
      <c r="H6" s="40"/>
      <c r="I6" s="63">
        <f>B6-P6</f>
        <v>682119</v>
      </c>
      <c r="J6" s="63">
        <f>C6-Q6</f>
        <v>330100</v>
      </c>
      <c r="K6" s="63">
        <f>430887+48578+430582+48237</f>
        <v>958284</v>
      </c>
      <c r="L6" s="63">
        <f>398954+K41097+128+403913+40137+128</f>
        <v>843260</v>
      </c>
      <c r="M6" s="112">
        <f>I6/J6-1</f>
        <v>1.0664010905786125</v>
      </c>
      <c r="N6" s="112">
        <f>I6/L6-1</f>
        <v>-0.19109290135901147</v>
      </c>
      <c r="O6" s="37"/>
      <c r="P6" s="63">
        <f>13348+15833</f>
        <v>29181</v>
      </c>
      <c r="Q6" s="63">
        <f>9169+13279</f>
        <v>22448</v>
      </c>
      <c r="R6" s="63">
        <f>16472+15586</f>
        <v>32058</v>
      </c>
      <c r="S6" s="63">
        <f>15477+13595</f>
        <v>29072</v>
      </c>
      <c r="T6" s="112">
        <f>P6/Q6-1</f>
        <v>0.29993763364219528</v>
      </c>
      <c r="U6" s="112">
        <f>P6/S6-1</f>
        <v>3.7493120528342416E-3</v>
      </c>
    </row>
    <row r="7" spans="1:45" x14ac:dyDescent="0.25">
      <c r="A7" s="49" t="s">
        <v>4</v>
      </c>
      <c r="B7" s="80">
        <v>740663</v>
      </c>
      <c r="C7" s="80">
        <f>SUM(J7,Q7)</f>
        <v>367166</v>
      </c>
      <c r="D7" s="80">
        <f>SUM(K7,R7)</f>
        <v>934469</v>
      </c>
      <c r="E7" s="80">
        <f>SUM(L7,S7)</f>
        <v>860854</v>
      </c>
      <c r="F7" s="111">
        <f t="shared" ref="F7:F18" si="0">B7/C7-1</f>
        <v>1.0172428819661952</v>
      </c>
      <c r="G7" s="111">
        <f t="shared" ref="G7:G18" si="1">B7/E7-1</f>
        <v>-0.13961833249308242</v>
      </c>
      <c r="H7" s="40"/>
      <c r="I7" s="64">
        <f>B7-P7</f>
        <v>716971</v>
      </c>
      <c r="J7" s="64">
        <f>168969+9596+166512+9290</f>
        <v>354367</v>
      </c>
      <c r="K7" s="64">
        <f>407767+47553+407814+47780</f>
        <v>910914</v>
      </c>
      <c r="L7" s="64">
        <f>378478+40549+109+377760+38688+42</f>
        <v>835626</v>
      </c>
      <c r="M7" s="113">
        <f t="shared" ref="M7:M18" si="2">I7/J7-1</f>
        <v>1.0232442637153008</v>
      </c>
      <c r="N7" s="113">
        <f t="shared" ref="N7:N18" si="3">I7/L7-1</f>
        <v>-0.14199534241395073</v>
      </c>
      <c r="O7" s="40"/>
      <c r="P7" s="65">
        <f>11029+12663</f>
        <v>23692</v>
      </c>
      <c r="Q7" s="65">
        <f>5264+7535</f>
        <v>12799</v>
      </c>
      <c r="R7" s="65">
        <f>11199+12356</f>
        <v>23555</v>
      </c>
      <c r="S7" s="65">
        <f>11549+13679</f>
        <v>25228</v>
      </c>
      <c r="T7" s="114">
        <f t="shared" ref="T7:T18" si="4">P7/Q7-1</f>
        <v>0.85108211579029613</v>
      </c>
      <c r="U7" s="114">
        <f t="shared" ref="U7:U18" si="5">P7/S7-1</f>
        <v>-6.088473125099092E-2</v>
      </c>
    </row>
    <row r="8" spans="1:45" x14ac:dyDescent="0.25">
      <c r="A8" s="41" t="s">
        <v>5</v>
      </c>
      <c r="B8" s="41"/>
      <c r="C8" s="79">
        <f>SUM(J8,Q8)</f>
        <v>577212</v>
      </c>
      <c r="D8" s="79">
        <f>SUM(K8,R8)</f>
        <v>527890</v>
      </c>
      <c r="E8" s="79">
        <f>SUM(L8,S8)</f>
        <v>1047798</v>
      </c>
      <c r="F8" s="110">
        <f t="shared" si="0"/>
        <v>-1</v>
      </c>
      <c r="G8" s="110">
        <f t="shared" si="1"/>
        <v>-1</v>
      </c>
      <c r="H8" s="40"/>
      <c r="I8" s="63"/>
      <c r="J8" s="63">
        <f>270168+14241+45+261497+13451+45</f>
        <v>559447</v>
      </c>
      <c r="K8" s="63">
        <f>218889+27508+237024+29360</f>
        <v>512781</v>
      </c>
      <c r="L8" s="63">
        <f>459180+51711+44+459536+50494+110</f>
        <v>1021075</v>
      </c>
      <c r="M8" s="112">
        <f t="shared" si="2"/>
        <v>-1</v>
      </c>
      <c r="N8" s="112">
        <f t="shared" si="3"/>
        <v>-1</v>
      </c>
      <c r="O8" s="40"/>
      <c r="P8" s="63"/>
      <c r="Q8" s="63">
        <f>8610+9155</f>
        <v>17765</v>
      </c>
      <c r="R8" s="63">
        <f>6588+8521</f>
        <v>15109</v>
      </c>
      <c r="S8" s="63">
        <f>12430+14293</f>
        <v>26723</v>
      </c>
      <c r="T8" s="112">
        <f t="shared" si="4"/>
        <v>-1</v>
      </c>
      <c r="U8" s="112">
        <f t="shared" si="5"/>
        <v>-1</v>
      </c>
    </row>
    <row r="9" spans="1:45" x14ac:dyDescent="0.25">
      <c r="A9" s="49" t="s">
        <v>6</v>
      </c>
      <c r="B9" s="49"/>
      <c r="C9" s="80">
        <f>SUM(J9,Q9)</f>
        <v>679228</v>
      </c>
      <c r="D9" s="80">
        <f>K9+R9</f>
        <v>69312</v>
      </c>
      <c r="E9" s="80">
        <f>SUM(L9,S9)</f>
        <v>1079861</v>
      </c>
      <c r="F9" s="111">
        <f t="shared" si="0"/>
        <v>-1</v>
      </c>
      <c r="G9" s="111">
        <f t="shared" si="1"/>
        <v>-1</v>
      </c>
      <c r="H9" s="40"/>
      <c r="I9" s="64"/>
      <c r="J9" s="64">
        <f>305972+20942+112+309975+20468+112</f>
        <v>657581</v>
      </c>
      <c r="K9" s="64">
        <f>29691+3426+30612+3546</f>
        <v>67275</v>
      </c>
      <c r="L9" s="64">
        <f>477772+49385+103+477511+47482+103</f>
        <v>1052356</v>
      </c>
      <c r="M9" s="113">
        <f t="shared" si="2"/>
        <v>-1</v>
      </c>
      <c r="N9" s="113">
        <f t="shared" si="3"/>
        <v>-1</v>
      </c>
      <c r="O9" s="40"/>
      <c r="P9" s="65"/>
      <c r="Q9" s="65">
        <f>11344+10303</f>
        <v>21647</v>
      </c>
      <c r="R9" s="65">
        <f>1169+868</f>
        <v>2037</v>
      </c>
      <c r="S9" s="65">
        <f>13001+14504</f>
        <v>27505</v>
      </c>
      <c r="T9" s="114">
        <f t="shared" si="4"/>
        <v>-1</v>
      </c>
      <c r="U9" s="114">
        <f t="shared" si="5"/>
        <v>-1</v>
      </c>
    </row>
    <row r="10" spans="1:45" x14ac:dyDescent="0.25">
      <c r="A10" s="38" t="s">
        <v>7</v>
      </c>
      <c r="B10" s="38"/>
      <c r="C10" s="79">
        <f>SUM(J10,Q10)</f>
        <v>831094</v>
      </c>
      <c r="D10" s="79">
        <f>73953+73594</f>
        <v>147547</v>
      </c>
      <c r="E10" s="79">
        <f>SUM(L10,S10)</f>
        <v>1152815</v>
      </c>
      <c r="F10" s="110">
        <f t="shared" si="0"/>
        <v>-1</v>
      </c>
      <c r="G10" s="110">
        <f t="shared" si="1"/>
        <v>-1</v>
      </c>
      <c r="H10" s="40"/>
      <c r="I10" s="63"/>
      <c r="J10" s="63">
        <f>371751+27484+45+375101+45+27446</f>
        <v>801872</v>
      </c>
      <c r="K10" s="63">
        <f>66659+7294+66722+6872</f>
        <v>147547</v>
      </c>
      <c r="L10" s="63">
        <f>504648+510617+55824+54116+68+63</f>
        <v>1125336</v>
      </c>
      <c r="M10" s="112">
        <f t="shared" si="2"/>
        <v>-1</v>
      </c>
      <c r="N10" s="112">
        <f t="shared" si="3"/>
        <v>-1</v>
      </c>
      <c r="O10" s="40"/>
      <c r="P10" s="63"/>
      <c r="Q10" s="63">
        <f>14496+14726</f>
        <v>29222</v>
      </c>
      <c r="R10" s="63">
        <v>0</v>
      </c>
      <c r="S10" s="63">
        <f>13314+14165</f>
        <v>27479</v>
      </c>
      <c r="T10" s="112">
        <f t="shared" si="4"/>
        <v>-1</v>
      </c>
      <c r="U10" s="112">
        <f t="shared" si="5"/>
        <v>-1</v>
      </c>
    </row>
    <row r="11" spans="1:45" x14ac:dyDescent="0.25">
      <c r="A11" s="49" t="s">
        <v>8</v>
      </c>
      <c r="B11" s="49"/>
      <c r="C11" s="80">
        <f>SUM(J11,Q11)</f>
        <v>981378</v>
      </c>
      <c r="D11" s="80">
        <f>K11+R11</f>
        <v>299175</v>
      </c>
      <c r="E11" s="80">
        <f>SUM(L11,S11)</f>
        <v>1178297</v>
      </c>
      <c r="F11" s="111">
        <f t="shared" si="0"/>
        <v>-1</v>
      </c>
      <c r="G11" s="111">
        <f t="shared" si="1"/>
        <v>-1</v>
      </c>
      <c r="H11" s="40"/>
      <c r="I11" s="64"/>
      <c r="J11" s="64">
        <f>438809+41888+429659+40623</f>
        <v>950979</v>
      </c>
      <c r="K11" s="64">
        <f>138026+9228+136465+8777</f>
        <v>292496</v>
      </c>
      <c r="L11" s="64">
        <f>525845+52831+46+516975+48+50786</f>
        <v>1146531</v>
      </c>
      <c r="M11" s="113">
        <f t="shared" si="2"/>
        <v>-1</v>
      </c>
      <c r="N11" s="113">
        <f t="shared" si="3"/>
        <v>-1</v>
      </c>
      <c r="O11" s="40"/>
      <c r="P11" s="65"/>
      <c r="Q11" s="65">
        <f>15015+15384</f>
        <v>30399</v>
      </c>
      <c r="R11" s="65">
        <f>3531+3148</f>
        <v>6679</v>
      </c>
      <c r="S11" s="65">
        <f>17023+14743</f>
        <v>31766</v>
      </c>
      <c r="T11" s="114">
        <f t="shared" si="4"/>
        <v>-1</v>
      </c>
      <c r="U11" s="114">
        <f t="shared" si="5"/>
        <v>-1</v>
      </c>
    </row>
    <row r="12" spans="1:45" x14ac:dyDescent="0.25">
      <c r="A12" s="38" t="s">
        <v>9</v>
      </c>
      <c r="B12" s="38"/>
      <c r="C12" s="79">
        <f>SUM(J12,Q12)</f>
        <v>1081028</v>
      </c>
      <c r="D12" s="79">
        <f>K12+R12</f>
        <v>406768</v>
      </c>
      <c r="E12" s="79">
        <f>SUM(L12,S12)</f>
        <v>1230606</v>
      </c>
      <c r="F12" s="110">
        <f t="shared" si="0"/>
        <v>-1</v>
      </c>
      <c r="G12" s="110">
        <f t="shared" si="1"/>
        <v>-1</v>
      </c>
      <c r="H12" s="40"/>
      <c r="I12" s="63"/>
      <c r="J12" s="63">
        <f>479205+44277+478080+43313</f>
        <v>1044875</v>
      </c>
      <c r="K12" s="63">
        <f>187165+9208+186915+9298</f>
        <v>392586</v>
      </c>
      <c r="L12" s="63">
        <f>544016+52374+68+546220+53453+68</f>
        <v>1196199</v>
      </c>
      <c r="M12" s="112">
        <f t="shared" si="2"/>
        <v>-1</v>
      </c>
      <c r="N12" s="112">
        <f t="shared" si="3"/>
        <v>-1</v>
      </c>
      <c r="O12" s="40"/>
      <c r="P12" s="63"/>
      <c r="Q12" s="63">
        <f>17617+18536</f>
        <v>36153</v>
      </c>
      <c r="R12" s="63">
        <f>6878+7304</f>
        <v>14182</v>
      </c>
      <c r="S12" s="63">
        <f>16893+17514</f>
        <v>34407</v>
      </c>
      <c r="T12" s="112">
        <f t="shared" si="4"/>
        <v>-1</v>
      </c>
      <c r="U12" s="112">
        <f t="shared" si="5"/>
        <v>-1</v>
      </c>
    </row>
    <row r="13" spans="1:45" x14ac:dyDescent="0.25">
      <c r="A13" s="49" t="s">
        <v>10</v>
      </c>
      <c r="B13" s="49"/>
      <c r="C13" s="80">
        <f>SUM(J13,Q13)</f>
        <v>984424</v>
      </c>
      <c r="D13" s="80">
        <f>K13+R13</f>
        <v>423340</v>
      </c>
      <c r="E13" s="80">
        <v>1186403</v>
      </c>
      <c r="F13" s="111">
        <f t="shared" si="0"/>
        <v>-1</v>
      </c>
      <c r="G13" s="111">
        <f t="shared" si="1"/>
        <v>-1</v>
      </c>
      <c r="H13" s="40"/>
      <c r="I13" s="64"/>
      <c r="J13" s="64">
        <f>432144+37795+103+444051+40700+36</f>
        <v>954829</v>
      </c>
      <c r="K13" s="64">
        <f>192354+11685+26+192411+12307+57</f>
        <v>408840</v>
      </c>
      <c r="L13" s="64">
        <f>E13-S13</f>
        <v>1157574</v>
      </c>
      <c r="M13" s="113">
        <f t="shared" si="2"/>
        <v>-1</v>
      </c>
      <c r="N13" s="113">
        <f t="shared" si="3"/>
        <v>-1</v>
      </c>
      <c r="O13" s="40"/>
      <c r="P13" s="65"/>
      <c r="Q13" s="65">
        <f>12436+17159</f>
        <v>29595</v>
      </c>
      <c r="R13" s="65">
        <f>6274+8226</f>
        <v>14500</v>
      </c>
      <c r="S13" s="65">
        <f>13168+15661</f>
        <v>28829</v>
      </c>
      <c r="T13" s="114">
        <f t="shared" si="4"/>
        <v>-1</v>
      </c>
      <c r="U13" s="114">
        <f t="shared" si="5"/>
        <v>-1</v>
      </c>
    </row>
    <row r="14" spans="1:45" s="47" customFormat="1" x14ac:dyDescent="0.25">
      <c r="A14" s="43" t="s">
        <v>11</v>
      </c>
      <c r="B14" s="43"/>
      <c r="C14" s="79">
        <v>916525</v>
      </c>
      <c r="D14" s="79">
        <v>416608</v>
      </c>
      <c r="E14" s="79">
        <f>SUM(L14,S14)</f>
        <v>1109543</v>
      </c>
      <c r="F14" s="110">
        <f t="shared" si="0"/>
        <v>-1</v>
      </c>
      <c r="G14" s="110">
        <f t="shared" si="1"/>
        <v>-1</v>
      </c>
      <c r="H14" s="40"/>
      <c r="I14" s="63"/>
      <c r="J14" s="63">
        <f>411375+37018+89+407063+37137+88</f>
        <v>892770</v>
      </c>
      <c r="K14" s="63">
        <f>D14-R14</f>
        <v>402294</v>
      </c>
      <c r="L14" s="63">
        <f>493945+50158+491268+50936+54+54</f>
        <v>1086415</v>
      </c>
      <c r="M14" s="112">
        <f t="shared" si="2"/>
        <v>-1</v>
      </c>
      <c r="N14" s="112">
        <f t="shared" si="3"/>
        <v>-1</v>
      </c>
      <c r="O14" s="46"/>
      <c r="P14" s="63"/>
      <c r="Q14" s="63">
        <f>C14-J14</f>
        <v>23755</v>
      </c>
      <c r="R14" s="63">
        <f>7078+7236</f>
        <v>14314</v>
      </c>
      <c r="S14" s="63">
        <f>11839+11289</f>
        <v>23128</v>
      </c>
      <c r="T14" s="112">
        <f>P14/Q14-1</f>
        <v>-1</v>
      </c>
      <c r="U14" s="112">
        <f t="shared" si="5"/>
        <v>-1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s="6" customFormat="1" x14ac:dyDescent="0.25">
      <c r="A15" s="49" t="s">
        <v>12</v>
      </c>
      <c r="B15" s="49"/>
      <c r="C15" s="80">
        <v>1001487</v>
      </c>
      <c r="D15" s="80">
        <v>476349</v>
      </c>
      <c r="E15" s="80">
        <f>SUM(L15,S15)</f>
        <v>1156907</v>
      </c>
      <c r="F15" s="111">
        <f t="shared" si="0"/>
        <v>-1</v>
      </c>
      <c r="G15" s="111">
        <f t="shared" si="1"/>
        <v>-1</v>
      </c>
      <c r="H15" s="40"/>
      <c r="I15" s="64"/>
      <c r="J15" s="64">
        <f>448606+40300+404+445609+40577+321</f>
        <v>975817</v>
      </c>
      <c r="K15" s="64">
        <f>D15-R15</f>
        <v>460798</v>
      </c>
      <c r="L15" s="64">
        <f>515521+514860+50456+51+50+51102</f>
        <v>1132040</v>
      </c>
      <c r="M15" s="113">
        <f t="shared" si="2"/>
        <v>-1</v>
      </c>
      <c r="N15" s="113">
        <f t="shared" si="3"/>
        <v>-1</v>
      </c>
      <c r="O15" s="40"/>
      <c r="P15" s="65"/>
      <c r="Q15" s="65">
        <f>12472+13198</f>
        <v>25670</v>
      </c>
      <c r="R15" s="65">
        <f>7996+7555</f>
        <v>15551</v>
      </c>
      <c r="S15" s="65">
        <f>13131+11736</f>
        <v>24867</v>
      </c>
      <c r="T15" s="114">
        <f t="shared" si="4"/>
        <v>-1</v>
      </c>
      <c r="U15" s="114">
        <f t="shared" si="5"/>
        <v>-1</v>
      </c>
    </row>
    <row r="16" spans="1:45" x14ac:dyDescent="0.25">
      <c r="A16" s="41" t="s">
        <v>13</v>
      </c>
      <c r="B16" s="41"/>
      <c r="C16" s="79">
        <f>J16+Q16</f>
        <v>970039</v>
      </c>
      <c r="D16" s="79">
        <f>K16+R16</f>
        <v>464430</v>
      </c>
      <c r="E16" s="79">
        <f>SUM(L16,S16)</f>
        <v>1090360</v>
      </c>
      <c r="F16" s="110">
        <f t="shared" si="0"/>
        <v>-1</v>
      </c>
      <c r="G16" s="110">
        <f t="shared" si="1"/>
        <v>-1</v>
      </c>
      <c r="H16" s="40"/>
      <c r="I16" s="63"/>
      <c r="J16" s="63">
        <f>434884+35525+443+437667+35249+557</f>
        <v>944325</v>
      </c>
      <c r="K16" s="63">
        <f>205976+15487+210115+14614</f>
        <v>446192</v>
      </c>
      <c r="L16" s="63">
        <f>483544+48355+63+482386+47875+63</f>
        <v>1062286</v>
      </c>
      <c r="M16" s="112">
        <f t="shared" si="2"/>
        <v>-1</v>
      </c>
      <c r="N16" s="112">
        <f t="shared" si="3"/>
        <v>-1</v>
      </c>
      <c r="O16" s="40"/>
      <c r="P16" s="63"/>
      <c r="Q16" s="63">
        <f>13749+11965</f>
        <v>25714</v>
      </c>
      <c r="R16" s="63">
        <f>8163+10075</f>
        <v>18238</v>
      </c>
      <c r="S16" s="63">
        <f>15463+12611</f>
        <v>28074</v>
      </c>
      <c r="T16" s="112">
        <f t="shared" si="4"/>
        <v>-1</v>
      </c>
      <c r="U16" s="112">
        <f t="shared" si="5"/>
        <v>-1</v>
      </c>
    </row>
    <row r="17" spans="1:21" x14ac:dyDescent="0.25">
      <c r="A17" s="49" t="s">
        <v>14</v>
      </c>
      <c r="B17" s="49"/>
      <c r="C17" s="80">
        <f>J17+Q17</f>
        <v>958931</v>
      </c>
      <c r="D17" s="80">
        <f>SUM(K17,R17)</f>
        <v>426138</v>
      </c>
      <c r="E17" s="80">
        <f>SUM(L17,S17)</f>
        <v>1162890</v>
      </c>
      <c r="F17" s="111">
        <f t="shared" si="0"/>
        <v>-1</v>
      </c>
      <c r="G17" s="111">
        <f t="shared" si="1"/>
        <v>-1</v>
      </c>
      <c r="H17" s="40"/>
      <c r="I17" s="64"/>
      <c r="J17" s="64">
        <f>436550+29487+407+434938+28852+406</f>
        <v>930640</v>
      </c>
      <c r="K17" s="64">
        <f>189631+13943+39+186539+13263+38</f>
        <v>403453</v>
      </c>
      <c r="L17" s="64">
        <f>514799+50362+84+516083+47943+52</f>
        <v>1129323</v>
      </c>
      <c r="M17" s="113">
        <f t="shared" si="2"/>
        <v>-1</v>
      </c>
      <c r="N17" s="113">
        <f t="shared" si="3"/>
        <v>-1</v>
      </c>
      <c r="O17" s="40"/>
      <c r="P17" s="65"/>
      <c r="Q17" s="65">
        <f>16088+12203</f>
        <v>28291</v>
      </c>
      <c r="R17" s="65">
        <f>8262+14423</f>
        <v>22685</v>
      </c>
      <c r="S17" s="65">
        <f>18762+14805</f>
        <v>33567</v>
      </c>
      <c r="T17" s="114">
        <f t="shared" si="4"/>
        <v>-1</v>
      </c>
      <c r="U17" s="114">
        <f t="shared" si="5"/>
        <v>-1</v>
      </c>
    </row>
    <row r="18" spans="1:21" x14ac:dyDescent="0.25">
      <c r="A18" s="38" t="s">
        <v>28</v>
      </c>
      <c r="B18" s="81">
        <f>SUM(B6:B7)</f>
        <v>1451963</v>
      </c>
      <c r="C18" s="81">
        <f>SUM(C6:C7)</f>
        <v>719714</v>
      </c>
      <c r="D18" s="81">
        <f t="shared" ref="D18:E18" si="6">SUM(D6:D7)</f>
        <v>1924811</v>
      </c>
      <c r="E18" s="81">
        <f t="shared" si="6"/>
        <v>1733186</v>
      </c>
      <c r="F18" s="110">
        <f>B18/C18-1</f>
        <v>1.0174166404988649</v>
      </c>
      <c r="G18" s="110">
        <f t="shared" si="1"/>
        <v>-0.16225783037712049</v>
      </c>
      <c r="H18" s="40"/>
      <c r="I18" s="81">
        <f>SUM(I6:I7)</f>
        <v>1399090</v>
      </c>
      <c r="J18" s="81">
        <f>SUM(J6:J7)</f>
        <v>684467</v>
      </c>
      <c r="K18" s="81">
        <f t="shared" ref="K18:L18" si="7">SUM(K6:K7)</f>
        <v>1869198</v>
      </c>
      <c r="L18" s="81">
        <f t="shared" si="7"/>
        <v>1678886</v>
      </c>
      <c r="M18" s="110">
        <f>I18/J18-1</f>
        <v>1.0440576390096235</v>
      </c>
      <c r="N18" s="110">
        <f t="shared" si="3"/>
        <v>-0.16665574672729422</v>
      </c>
      <c r="O18" s="40"/>
      <c r="P18" s="81">
        <f>SUM(P6:P7)</f>
        <v>52873</v>
      </c>
      <c r="Q18" s="81">
        <f>SUM(Q6:Q7)</f>
        <v>35247</v>
      </c>
      <c r="R18" s="81">
        <f t="shared" ref="R18:S18" si="8">SUM(R6:R7)</f>
        <v>55613</v>
      </c>
      <c r="S18" s="81">
        <f t="shared" si="8"/>
        <v>54300</v>
      </c>
      <c r="T18" s="110">
        <f>P18/Q18-1</f>
        <v>0.50007092802224307</v>
      </c>
      <c r="U18" s="110">
        <f t="shared" si="5"/>
        <v>-2.6279926335174952E-2</v>
      </c>
    </row>
    <row r="19" spans="1:21" x14ac:dyDescent="0.25">
      <c r="A19" s="37"/>
      <c r="B19" s="37"/>
      <c r="C19" s="37"/>
      <c r="D19" s="37"/>
      <c r="E19" s="33" t="s">
        <v>48</v>
      </c>
      <c r="H19" s="40"/>
      <c r="I19" s="40"/>
      <c r="J19" s="40"/>
    </row>
    <row r="20" spans="1:21" x14ac:dyDescent="0.25">
      <c r="A20" s="42" t="s">
        <v>43</v>
      </c>
      <c r="B20" s="42"/>
      <c r="C20" s="42"/>
      <c r="D20" s="56"/>
      <c r="L20" s="39"/>
      <c r="M20" s="39"/>
      <c r="R20" s="39"/>
      <c r="S20" s="39"/>
    </row>
    <row r="21" spans="1:21" x14ac:dyDescent="0.25">
      <c r="A21" s="2" t="s">
        <v>49</v>
      </c>
      <c r="B21" s="2"/>
      <c r="C21" s="2"/>
      <c r="R21" s="39"/>
      <c r="S21" s="48"/>
    </row>
    <row r="23" spans="1:21" x14ac:dyDescent="0.25">
      <c r="D23" s="29"/>
      <c r="E23" s="29"/>
      <c r="F23" s="29"/>
      <c r="G23" s="29"/>
    </row>
  </sheetData>
  <mergeCells count="4">
    <mergeCell ref="A1:T1"/>
    <mergeCell ref="B3:G3"/>
    <mergeCell ref="I3:N3"/>
    <mergeCell ref="P3:U3"/>
  </mergeCells>
  <phoneticPr fontId="17" type="noConversion"/>
  <pageMargins left="0.7" right="0.7" top="0.75" bottom="0.75" header="0.3" footer="0.3"/>
  <pageSetup scale="5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1:AS24"/>
  <sheetViews>
    <sheetView topLeftCell="B1" zoomScaleNormal="100" zoomScaleSheetLayoutView="100" workbookViewId="0">
      <selection activeCell="P6" sqref="P6:P7"/>
    </sheetView>
  </sheetViews>
  <sheetFormatPr baseColWidth="10" defaultColWidth="8.83203125" defaultRowHeight="19" x14ac:dyDescent="0.25"/>
  <cols>
    <col min="1" max="21" width="13.83203125" style="33" customWidth="1"/>
  </cols>
  <sheetData>
    <row r="1" spans="1:45" ht="34" customHeight="1" x14ac:dyDescent="0.2">
      <c r="A1" s="97" t="s">
        <v>21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66"/>
      <c r="V1" s="47"/>
      <c r="W1" s="47"/>
      <c r="X1" s="47"/>
      <c r="Y1" s="47"/>
      <c r="Z1" s="47"/>
      <c r="AA1" s="47"/>
    </row>
    <row r="2" spans="1:45" ht="15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s="47"/>
      <c r="W2" s="47"/>
      <c r="X2" s="47"/>
      <c r="Y2" s="47"/>
      <c r="Z2" s="47"/>
      <c r="AA2" s="47"/>
    </row>
    <row r="3" spans="1:45" x14ac:dyDescent="0.25">
      <c r="A3" s="34"/>
      <c r="B3" s="100" t="s">
        <v>47</v>
      </c>
      <c r="C3" s="100"/>
      <c r="D3" s="100"/>
      <c r="E3" s="100"/>
      <c r="F3" s="100"/>
      <c r="G3" s="101"/>
      <c r="H3" s="53"/>
      <c r="I3" s="104" t="s">
        <v>15</v>
      </c>
      <c r="J3" s="104"/>
      <c r="K3" s="104"/>
      <c r="L3" s="104"/>
      <c r="M3" s="104"/>
      <c r="N3" s="105"/>
      <c r="O3" s="73"/>
      <c r="P3" s="106" t="s">
        <v>16</v>
      </c>
      <c r="Q3" s="106"/>
      <c r="R3" s="106"/>
      <c r="S3" s="106"/>
      <c r="T3" s="106"/>
      <c r="U3" s="107"/>
    </row>
    <row r="4" spans="1:45" ht="40" x14ac:dyDescent="0.25">
      <c r="A4" s="35"/>
      <c r="B4" s="75">
        <v>2022</v>
      </c>
      <c r="C4" s="75">
        <v>2021</v>
      </c>
      <c r="D4" s="75">
        <v>2020</v>
      </c>
      <c r="E4" s="75">
        <v>2019</v>
      </c>
      <c r="F4" s="76" t="s">
        <v>56</v>
      </c>
      <c r="G4" s="76" t="s">
        <v>54</v>
      </c>
      <c r="H4" s="37"/>
      <c r="I4" s="69">
        <v>2022</v>
      </c>
      <c r="J4" s="69">
        <v>2021</v>
      </c>
      <c r="K4" s="69">
        <v>2020</v>
      </c>
      <c r="L4" s="69">
        <v>2019</v>
      </c>
      <c r="M4" s="76" t="s">
        <v>56</v>
      </c>
      <c r="N4" s="76" t="s">
        <v>54</v>
      </c>
      <c r="O4" s="67"/>
      <c r="P4" s="69">
        <v>2022</v>
      </c>
      <c r="Q4" s="69">
        <v>2021</v>
      </c>
      <c r="R4" s="69">
        <v>2020</v>
      </c>
      <c r="S4" s="69">
        <v>2019</v>
      </c>
      <c r="T4" s="76" t="s">
        <v>56</v>
      </c>
      <c r="U4" s="76" t="s">
        <v>54</v>
      </c>
    </row>
    <row r="5" spans="1:45" x14ac:dyDescent="0.25">
      <c r="A5" s="49"/>
      <c r="B5" s="49"/>
      <c r="C5" s="77"/>
      <c r="D5" s="78"/>
      <c r="E5" s="78"/>
      <c r="F5" s="78"/>
      <c r="G5" s="78"/>
      <c r="H5" s="37"/>
      <c r="I5" s="54"/>
      <c r="J5" s="54"/>
      <c r="K5" s="54"/>
      <c r="L5" s="55"/>
      <c r="M5" s="54"/>
      <c r="N5" s="54"/>
      <c r="O5" s="37"/>
      <c r="P5" s="50"/>
      <c r="Q5" s="50"/>
      <c r="R5" s="50"/>
      <c r="S5" s="51"/>
      <c r="T5" s="50"/>
      <c r="U5" s="50"/>
    </row>
    <row r="6" spans="1:45" x14ac:dyDescent="0.25">
      <c r="A6" s="38" t="s">
        <v>3</v>
      </c>
      <c r="B6" s="79">
        <f>SUM(I6,P6)</f>
        <v>1173878</v>
      </c>
      <c r="C6" s="79">
        <f>SUM(J6,Q6)</f>
        <v>487121</v>
      </c>
      <c r="D6" s="79">
        <f>SUM(K6,R6)</f>
        <v>1906444</v>
      </c>
      <c r="E6" s="79">
        <f>SUM(L6,S6)</f>
        <v>1798735</v>
      </c>
      <c r="F6" s="110">
        <f>B6/C6-1</f>
        <v>1.4098283588677147</v>
      </c>
      <c r="G6" s="110">
        <f>B6/E6-1</f>
        <v>-0.34738691358093332</v>
      </c>
      <c r="H6" s="90"/>
      <c r="I6" s="88">
        <v>1148966</v>
      </c>
      <c r="J6" s="88">
        <v>479216</v>
      </c>
      <c r="K6" s="88">
        <v>1823722</v>
      </c>
      <c r="L6" s="88">
        <v>1717815</v>
      </c>
      <c r="M6" s="112">
        <f>I6/J6-1</f>
        <v>1.3975952388901871</v>
      </c>
      <c r="N6" s="112">
        <f>I6/L6-1</f>
        <v>-0.33114683478721518</v>
      </c>
      <c r="O6" s="91"/>
      <c r="P6" s="88">
        <v>24912</v>
      </c>
      <c r="Q6" s="88">
        <v>7905</v>
      </c>
      <c r="R6" s="88">
        <v>82722</v>
      </c>
      <c r="S6" s="88">
        <v>80920</v>
      </c>
      <c r="T6" s="112">
        <f>P6/Q6-1</f>
        <v>2.1514231499051233</v>
      </c>
      <c r="U6" s="112">
        <f>P6/S6-1</f>
        <v>-0.69214038556599111</v>
      </c>
    </row>
    <row r="7" spans="1:45" x14ac:dyDescent="0.25">
      <c r="A7" s="49" t="s">
        <v>4</v>
      </c>
      <c r="B7" s="80">
        <f>SUM(I7,P7)</f>
        <v>1297541</v>
      </c>
      <c r="C7" s="80">
        <f>SUM(J7,Q7)</f>
        <v>501183</v>
      </c>
      <c r="D7" s="80">
        <f>SUM(K7,R7)</f>
        <v>1805960</v>
      </c>
      <c r="E7" s="80">
        <f>SUM(L7,S7)</f>
        <v>1695472</v>
      </c>
      <c r="F7" s="111">
        <f t="shared" ref="F7:F17" si="0">B7/C7-1</f>
        <v>1.5889565288527345</v>
      </c>
      <c r="G7" s="111">
        <f t="shared" ref="G7:G17" si="1">B7/E7-1</f>
        <v>-0.23470219502297884</v>
      </c>
      <c r="H7" s="90"/>
      <c r="I7" s="92">
        <v>1273360</v>
      </c>
      <c r="J7" s="92">
        <v>494204</v>
      </c>
      <c r="K7" s="92">
        <v>1729443</v>
      </c>
      <c r="L7" s="92">
        <v>1623756</v>
      </c>
      <c r="M7" s="113">
        <f t="shared" ref="M7:M18" si="2">I7/J7-1</f>
        <v>1.5765878058453593</v>
      </c>
      <c r="N7" s="113">
        <f t="shared" ref="N7:N18" si="3">I7/L7-1</f>
        <v>-0.21579350592084034</v>
      </c>
      <c r="O7" s="90"/>
      <c r="P7" s="89">
        <v>24181</v>
      </c>
      <c r="Q7" s="89">
        <v>6979</v>
      </c>
      <c r="R7" s="89">
        <v>76517</v>
      </c>
      <c r="S7" s="89">
        <v>71716</v>
      </c>
      <c r="T7" s="114">
        <f t="shared" ref="T7:T18" si="4">P7/Q7-1</f>
        <v>2.4648230405502223</v>
      </c>
      <c r="U7" s="114">
        <f t="shared" ref="U7:U18" si="5">P7/S7-1</f>
        <v>-0.66282280104858049</v>
      </c>
    </row>
    <row r="8" spans="1:45" x14ac:dyDescent="0.25">
      <c r="A8" s="41" t="s">
        <v>5</v>
      </c>
      <c r="B8" s="41"/>
      <c r="C8" s="79">
        <f>J8+Q8</f>
        <v>872410</v>
      </c>
      <c r="D8" s="79">
        <f>K8+R8</f>
        <v>944758</v>
      </c>
      <c r="E8" s="79">
        <f t="shared" ref="E8:E17" si="6">SUM(L8,S8)</f>
        <v>2100970</v>
      </c>
      <c r="F8" s="110">
        <f t="shared" si="0"/>
        <v>-1</v>
      </c>
      <c r="G8" s="110">
        <f t="shared" si="1"/>
        <v>-1</v>
      </c>
      <c r="H8" s="90"/>
      <c r="I8" s="88"/>
      <c r="J8" s="88">
        <v>863233</v>
      </c>
      <c r="K8" s="88">
        <v>905028</v>
      </c>
      <c r="L8" s="88">
        <v>2010711</v>
      </c>
      <c r="M8" s="112">
        <f t="shared" si="2"/>
        <v>-1</v>
      </c>
      <c r="N8" s="112">
        <f t="shared" si="3"/>
        <v>-1</v>
      </c>
      <c r="O8" s="90"/>
      <c r="P8" s="88"/>
      <c r="Q8" s="88">
        <v>9177</v>
      </c>
      <c r="R8" s="88">
        <v>39730</v>
      </c>
      <c r="S8" s="88">
        <v>90259</v>
      </c>
      <c r="T8" s="112">
        <f t="shared" si="4"/>
        <v>-1</v>
      </c>
      <c r="U8" s="112">
        <f t="shared" si="5"/>
        <v>-1</v>
      </c>
    </row>
    <row r="9" spans="1:45" x14ac:dyDescent="0.25">
      <c r="A9" s="49" t="s">
        <v>6</v>
      </c>
      <c r="B9" s="49"/>
      <c r="C9" s="80">
        <f>J9+Q9</f>
        <v>1054246</v>
      </c>
      <c r="D9" s="80">
        <f>K9+R9</f>
        <v>74682</v>
      </c>
      <c r="E9" s="80">
        <f t="shared" si="6"/>
        <v>2089139</v>
      </c>
      <c r="F9" s="111">
        <f t="shared" si="0"/>
        <v>-1</v>
      </c>
      <c r="G9" s="111">
        <f t="shared" si="1"/>
        <v>-1</v>
      </c>
      <c r="H9" s="90"/>
      <c r="I9" s="92"/>
      <c r="J9" s="92">
        <v>1041983</v>
      </c>
      <c r="K9" s="92">
        <v>74246</v>
      </c>
      <c r="L9" s="92">
        <v>2002334</v>
      </c>
      <c r="M9" s="113">
        <f t="shared" si="2"/>
        <v>-1</v>
      </c>
      <c r="N9" s="113">
        <f t="shared" si="3"/>
        <v>-1</v>
      </c>
      <c r="O9" s="90"/>
      <c r="P9" s="89"/>
      <c r="Q9" s="89">
        <v>12263</v>
      </c>
      <c r="R9" s="89">
        <v>436</v>
      </c>
      <c r="S9" s="89">
        <v>86805</v>
      </c>
      <c r="T9" s="114">
        <f t="shared" si="4"/>
        <v>-1</v>
      </c>
      <c r="U9" s="114">
        <f t="shared" si="5"/>
        <v>-1</v>
      </c>
    </row>
    <row r="10" spans="1:45" x14ac:dyDescent="0.25">
      <c r="A10" s="38" t="s">
        <v>7</v>
      </c>
      <c r="B10" s="38"/>
      <c r="C10" s="79">
        <f>J10+Q10</f>
        <v>1280253</v>
      </c>
      <c r="D10" s="79">
        <f>K10+R10</f>
        <v>192432</v>
      </c>
      <c r="E10" s="79">
        <f t="shared" si="6"/>
        <v>2139175</v>
      </c>
      <c r="F10" s="110">
        <f t="shared" si="0"/>
        <v>-1</v>
      </c>
      <c r="G10" s="110">
        <f t="shared" si="1"/>
        <v>-1</v>
      </c>
      <c r="H10" s="90"/>
      <c r="I10" s="88"/>
      <c r="J10" s="88">
        <v>1267828</v>
      </c>
      <c r="K10" s="88">
        <v>192432</v>
      </c>
      <c r="L10" s="88">
        <v>2055420</v>
      </c>
      <c r="M10" s="112">
        <f t="shared" si="2"/>
        <v>-1</v>
      </c>
      <c r="N10" s="112">
        <f t="shared" si="3"/>
        <v>-1</v>
      </c>
      <c r="O10" s="90"/>
      <c r="P10" s="88"/>
      <c r="Q10" s="88">
        <v>12425</v>
      </c>
      <c r="R10" s="88">
        <v>0</v>
      </c>
      <c r="S10" s="88">
        <v>83755</v>
      </c>
      <c r="T10" s="112">
        <f t="shared" si="4"/>
        <v>-1</v>
      </c>
      <c r="U10" s="112">
        <f t="shared" si="5"/>
        <v>-1</v>
      </c>
    </row>
    <row r="11" spans="1:45" x14ac:dyDescent="0.25">
      <c r="A11" s="49" t="s">
        <v>8</v>
      </c>
      <c r="B11" s="49"/>
      <c r="C11" s="80">
        <v>1588699</v>
      </c>
      <c r="D11" s="80">
        <f>K11+R11</f>
        <v>419546</v>
      </c>
      <c r="E11" s="80">
        <f t="shared" si="6"/>
        <v>2286679</v>
      </c>
      <c r="F11" s="111">
        <f t="shared" si="0"/>
        <v>-1</v>
      </c>
      <c r="G11" s="111">
        <f t="shared" si="1"/>
        <v>-1</v>
      </c>
      <c r="H11" s="90"/>
      <c r="I11" s="92"/>
      <c r="J11" s="92">
        <v>1571822</v>
      </c>
      <c r="K11" s="92">
        <v>416489</v>
      </c>
      <c r="L11" s="92">
        <v>2192842</v>
      </c>
      <c r="M11" s="113">
        <f t="shared" si="2"/>
        <v>-1</v>
      </c>
      <c r="N11" s="113">
        <f t="shared" si="3"/>
        <v>-1</v>
      </c>
      <c r="O11" s="90"/>
      <c r="P11" s="89"/>
      <c r="Q11" s="89">
        <v>16877</v>
      </c>
      <c r="R11" s="89">
        <v>3057</v>
      </c>
      <c r="S11" s="89">
        <v>93837</v>
      </c>
      <c r="T11" s="114">
        <f t="shared" si="4"/>
        <v>-1</v>
      </c>
      <c r="U11" s="114">
        <f t="shared" si="5"/>
        <v>-1</v>
      </c>
    </row>
    <row r="12" spans="1:45" x14ac:dyDescent="0.25">
      <c r="A12" s="38" t="s">
        <v>9</v>
      </c>
      <c r="B12" s="38"/>
      <c r="C12" s="79">
        <f>J12+Q12</f>
        <v>1815101</v>
      </c>
      <c r="D12" s="79">
        <v>610727</v>
      </c>
      <c r="E12" s="79">
        <f t="shared" si="6"/>
        <v>2425302</v>
      </c>
      <c r="F12" s="110">
        <f t="shared" si="0"/>
        <v>-1</v>
      </c>
      <c r="G12" s="110">
        <f t="shared" si="1"/>
        <v>-1</v>
      </c>
      <c r="H12" s="90"/>
      <c r="I12" s="88"/>
      <c r="J12" s="88">
        <v>1798284</v>
      </c>
      <c r="K12" s="88">
        <v>604241</v>
      </c>
      <c r="L12" s="88">
        <v>2317427</v>
      </c>
      <c r="M12" s="112">
        <f t="shared" si="2"/>
        <v>-1</v>
      </c>
      <c r="N12" s="112">
        <f t="shared" si="3"/>
        <v>-1</v>
      </c>
      <c r="O12" s="90"/>
      <c r="P12" s="88"/>
      <c r="Q12" s="88">
        <v>16817</v>
      </c>
      <c r="R12" s="88">
        <v>6486</v>
      </c>
      <c r="S12" s="88">
        <v>107875</v>
      </c>
      <c r="T12" s="112">
        <f t="shared" si="4"/>
        <v>-1</v>
      </c>
      <c r="U12" s="112">
        <f t="shared" si="5"/>
        <v>-1</v>
      </c>
    </row>
    <row r="13" spans="1:45" x14ac:dyDescent="0.25">
      <c r="A13" s="49" t="s">
        <v>10</v>
      </c>
      <c r="B13" s="49"/>
      <c r="C13" s="80">
        <f>J13+Q13</f>
        <v>1703987</v>
      </c>
      <c r="D13" s="80">
        <v>666601</v>
      </c>
      <c r="E13" s="80">
        <f t="shared" si="6"/>
        <v>2342812</v>
      </c>
      <c r="F13" s="111">
        <f t="shared" si="0"/>
        <v>-1</v>
      </c>
      <c r="G13" s="111">
        <f t="shared" si="1"/>
        <v>-1</v>
      </c>
      <c r="H13" s="90"/>
      <c r="I13" s="92"/>
      <c r="J13" s="92">
        <v>1687270</v>
      </c>
      <c r="K13" s="92">
        <v>659718</v>
      </c>
      <c r="L13" s="92">
        <v>2243585</v>
      </c>
      <c r="M13" s="113">
        <f t="shared" si="2"/>
        <v>-1</v>
      </c>
      <c r="N13" s="113">
        <f t="shared" si="3"/>
        <v>-1</v>
      </c>
      <c r="O13" s="90"/>
      <c r="P13" s="89"/>
      <c r="Q13" s="89">
        <v>16717</v>
      </c>
      <c r="R13" s="89">
        <v>6883</v>
      </c>
      <c r="S13" s="89">
        <v>99227</v>
      </c>
      <c r="T13" s="114">
        <f t="shared" si="4"/>
        <v>-1</v>
      </c>
      <c r="U13" s="114">
        <f t="shared" si="5"/>
        <v>-1</v>
      </c>
    </row>
    <row r="14" spans="1:45" s="47" customFormat="1" x14ac:dyDescent="0.25">
      <c r="A14" s="43" t="s">
        <v>11</v>
      </c>
      <c r="B14" s="43"/>
      <c r="C14" s="79">
        <f>J14+Q14</f>
        <v>1507738</v>
      </c>
      <c r="D14" s="79">
        <v>626200</v>
      </c>
      <c r="E14" s="79">
        <f t="shared" si="6"/>
        <v>2056183</v>
      </c>
      <c r="F14" s="110">
        <f t="shared" si="0"/>
        <v>-1</v>
      </c>
      <c r="G14" s="110">
        <f t="shared" si="1"/>
        <v>-1</v>
      </c>
      <c r="H14" s="90"/>
      <c r="I14" s="88"/>
      <c r="J14" s="88">
        <v>1489619</v>
      </c>
      <c r="K14" s="88">
        <v>621036</v>
      </c>
      <c r="L14" s="88">
        <v>1974690</v>
      </c>
      <c r="M14" s="112">
        <f t="shared" si="2"/>
        <v>-1</v>
      </c>
      <c r="N14" s="112">
        <f t="shared" si="3"/>
        <v>-1</v>
      </c>
      <c r="O14" s="93"/>
      <c r="P14" s="88"/>
      <c r="Q14" s="88">
        <v>18119</v>
      </c>
      <c r="R14" s="88">
        <v>5164</v>
      </c>
      <c r="S14" s="88">
        <v>81493</v>
      </c>
      <c r="T14" s="112">
        <f>P14/Q14-1</f>
        <v>-1</v>
      </c>
      <c r="U14" s="112">
        <f t="shared" si="5"/>
        <v>-1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s="6" customFormat="1" x14ac:dyDescent="0.25">
      <c r="A15" s="49" t="s">
        <v>12</v>
      </c>
      <c r="B15" s="49"/>
      <c r="C15" s="80">
        <f>J15+Q15</f>
        <v>1645905</v>
      </c>
      <c r="D15" s="80">
        <v>700168</v>
      </c>
      <c r="E15" s="80">
        <f t="shared" si="6"/>
        <v>2146628</v>
      </c>
      <c r="F15" s="111">
        <f t="shared" si="0"/>
        <v>-1</v>
      </c>
      <c r="G15" s="111">
        <f t="shared" si="1"/>
        <v>-1</v>
      </c>
      <c r="H15" s="40"/>
      <c r="I15" s="64"/>
      <c r="J15" s="64">
        <v>1622475</v>
      </c>
      <c r="K15" s="64">
        <v>692553</v>
      </c>
      <c r="L15" s="64">
        <v>2059535</v>
      </c>
      <c r="M15" s="113">
        <f t="shared" si="2"/>
        <v>-1</v>
      </c>
      <c r="N15" s="113">
        <f t="shared" si="3"/>
        <v>-1</v>
      </c>
      <c r="O15" s="40"/>
      <c r="P15" s="65"/>
      <c r="Q15" s="65">
        <v>23430</v>
      </c>
      <c r="R15" s="65">
        <v>7615</v>
      </c>
      <c r="S15" s="65">
        <v>87093</v>
      </c>
      <c r="T15" s="114">
        <f t="shared" si="4"/>
        <v>-1</v>
      </c>
      <c r="U15" s="114">
        <f t="shared" si="5"/>
        <v>-1</v>
      </c>
    </row>
    <row r="16" spans="1:45" x14ac:dyDescent="0.25">
      <c r="A16" s="41" t="s">
        <v>13</v>
      </c>
      <c r="B16" s="41"/>
      <c r="C16" s="94">
        <f>J16+Q16</f>
        <v>1572472</v>
      </c>
      <c r="D16" s="79">
        <v>682517</v>
      </c>
      <c r="E16" s="79">
        <f t="shared" si="6"/>
        <v>2002821</v>
      </c>
      <c r="F16" s="110">
        <f t="shared" si="0"/>
        <v>-1</v>
      </c>
      <c r="G16" s="110">
        <f t="shared" si="1"/>
        <v>-1</v>
      </c>
      <c r="H16" s="40"/>
      <c r="I16" s="63"/>
      <c r="J16" s="63">
        <v>1542370</v>
      </c>
      <c r="K16" s="63">
        <v>673401</v>
      </c>
      <c r="L16" s="63">
        <v>1919313</v>
      </c>
      <c r="M16" s="112">
        <f t="shared" si="2"/>
        <v>-1</v>
      </c>
      <c r="N16" s="112">
        <f t="shared" si="3"/>
        <v>-1</v>
      </c>
      <c r="O16" s="40"/>
      <c r="P16" s="63"/>
      <c r="Q16" s="63">
        <v>30102</v>
      </c>
      <c r="R16" s="63">
        <v>9116</v>
      </c>
      <c r="S16" s="63">
        <v>83508</v>
      </c>
      <c r="T16" s="112">
        <f t="shared" si="4"/>
        <v>-1</v>
      </c>
      <c r="U16" s="112">
        <f t="shared" si="5"/>
        <v>-1</v>
      </c>
    </row>
    <row r="17" spans="1:21" x14ac:dyDescent="0.25">
      <c r="A17" s="49" t="s">
        <v>14</v>
      </c>
      <c r="B17" s="49"/>
      <c r="C17" s="80">
        <f>J17+Q17</f>
        <v>1549805</v>
      </c>
      <c r="D17" s="80">
        <f>SUM(K17,R17)</f>
        <v>608847</v>
      </c>
      <c r="E17" s="80">
        <f t="shared" si="6"/>
        <v>2131289</v>
      </c>
      <c r="F17" s="111">
        <f t="shared" si="0"/>
        <v>-1</v>
      </c>
      <c r="G17" s="111">
        <f t="shared" si="1"/>
        <v>-1</v>
      </c>
      <c r="H17" s="40"/>
      <c r="I17" s="64"/>
      <c r="J17" s="64">
        <v>1510517</v>
      </c>
      <c r="K17" s="64">
        <v>599224</v>
      </c>
      <c r="L17" s="64">
        <v>2044005</v>
      </c>
      <c r="M17" s="113">
        <f t="shared" si="2"/>
        <v>-1</v>
      </c>
      <c r="N17" s="113">
        <f t="shared" si="3"/>
        <v>-1</v>
      </c>
      <c r="O17" s="40"/>
      <c r="P17" s="65"/>
      <c r="Q17" s="65">
        <v>39288</v>
      </c>
      <c r="R17" s="65">
        <v>9623</v>
      </c>
      <c r="S17" s="65">
        <v>87284</v>
      </c>
      <c r="T17" s="114">
        <f t="shared" si="4"/>
        <v>-1</v>
      </c>
      <c r="U17" s="114">
        <f t="shared" si="5"/>
        <v>-1</v>
      </c>
    </row>
    <row r="18" spans="1:21" x14ac:dyDescent="0.25">
      <c r="A18" s="38" t="s">
        <v>35</v>
      </c>
      <c r="B18" s="81">
        <f>SUM(B6:B7)</f>
        <v>2471419</v>
      </c>
      <c r="C18" s="81">
        <f>SUM(C6:C7)</f>
        <v>988304</v>
      </c>
      <c r="D18" s="81">
        <f t="shared" ref="D18:E18" si="7">SUM(D6:D7)</f>
        <v>3712404</v>
      </c>
      <c r="E18" s="81">
        <f t="shared" si="7"/>
        <v>3494207</v>
      </c>
      <c r="F18" s="110">
        <f>B18/C18-1</f>
        <v>1.5006667988796969</v>
      </c>
      <c r="G18" s="110">
        <f t="shared" ref="G18" si="8">B18/E18-1</f>
        <v>-0.29270961909240067</v>
      </c>
      <c r="H18" s="40"/>
      <c r="I18" s="81">
        <f>SUM(I6:I7)</f>
        <v>2422326</v>
      </c>
      <c r="J18" s="81">
        <f>SUM(J6:J7)</f>
        <v>973420</v>
      </c>
      <c r="K18" s="81">
        <f t="shared" ref="K18:L18" si="9">SUM(K6:K7)</f>
        <v>3553165</v>
      </c>
      <c r="L18" s="81">
        <f t="shared" si="9"/>
        <v>3341571</v>
      </c>
      <c r="M18" s="110">
        <f>I18/J18-1</f>
        <v>1.4884695198372748</v>
      </c>
      <c r="N18" s="110">
        <f t="shared" si="3"/>
        <v>-0.27509366103548305</v>
      </c>
      <c r="O18" s="40"/>
      <c r="P18" s="81">
        <f>SUM(P6:P7)</f>
        <v>49093</v>
      </c>
      <c r="Q18" s="81">
        <f>SUM(Q6:Q7)</f>
        <v>14884</v>
      </c>
      <c r="R18" s="81">
        <f t="shared" ref="R18:S18" si="10">SUM(R6:R7)</f>
        <v>159239</v>
      </c>
      <c r="S18" s="81">
        <f t="shared" si="10"/>
        <v>152636</v>
      </c>
      <c r="T18" s="110">
        <f>P18/Q18-1</f>
        <v>2.2983740929857563</v>
      </c>
      <c r="U18" s="110">
        <f t="shared" si="5"/>
        <v>-0.67836552320553478</v>
      </c>
    </row>
    <row r="19" spans="1:21" x14ac:dyDescent="0.25">
      <c r="A19" s="37"/>
      <c r="B19" s="37"/>
      <c r="C19" s="37"/>
      <c r="D19" s="37"/>
      <c r="H19" s="40"/>
      <c r="I19" s="40"/>
      <c r="J19" s="40"/>
    </row>
    <row r="20" spans="1:21" x14ac:dyDescent="0.25">
      <c r="A20" s="42" t="s">
        <v>44</v>
      </c>
      <c r="B20" s="42"/>
      <c r="C20" s="42"/>
      <c r="D20" s="56"/>
      <c r="L20" s="39" t="s">
        <v>50</v>
      </c>
      <c r="M20" s="39"/>
      <c r="R20" s="39"/>
      <c r="S20" s="39"/>
    </row>
    <row r="21" spans="1:21" x14ac:dyDescent="0.25">
      <c r="A21" s="2" t="s">
        <v>49</v>
      </c>
      <c r="B21" s="2"/>
      <c r="C21" s="2"/>
      <c r="R21" s="39"/>
      <c r="S21" s="48"/>
    </row>
    <row r="23" spans="1:21" x14ac:dyDescent="0.25">
      <c r="D23" s="29"/>
      <c r="E23" s="29"/>
      <c r="F23" s="29"/>
      <c r="G23" s="29"/>
    </row>
    <row r="24" spans="1:21" x14ac:dyDescent="0.25">
      <c r="L24" s="33" t="s">
        <v>48</v>
      </c>
    </row>
  </sheetData>
  <mergeCells count="4">
    <mergeCell ref="A1:T1"/>
    <mergeCell ref="I3:N3"/>
    <mergeCell ref="B3:G3"/>
    <mergeCell ref="P3:U3"/>
  </mergeCells>
  <phoneticPr fontId="17" type="noConversion"/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CA Totals</vt:lpstr>
      <vt:lpstr>Los Angeles</vt:lpstr>
      <vt:lpstr>Burbank</vt:lpstr>
      <vt:lpstr>Long Beach</vt:lpstr>
      <vt:lpstr>Ontario</vt:lpstr>
      <vt:lpstr>Orange County</vt:lpstr>
      <vt:lpstr>Oakland</vt:lpstr>
      <vt:lpstr>Sacramento</vt:lpstr>
      <vt:lpstr>San Diego</vt:lpstr>
      <vt:lpstr>San Jose</vt:lpstr>
      <vt:lpstr>San Francisco</vt:lpstr>
      <vt:lpstr>High Low stats</vt:lpstr>
      <vt:lpstr>Burbank!Print_Area</vt:lpstr>
      <vt:lpstr>'CA Totals'!Print_Area</vt:lpstr>
      <vt:lpstr>'High Low stats'!Print_Area</vt:lpstr>
      <vt:lpstr>'Long Beach'!Print_Area</vt:lpstr>
      <vt:lpstr>'Los Angeles'!Print_Area</vt:lpstr>
      <vt:lpstr>Oakland!Print_Area</vt:lpstr>
      <vt:lpstr>Ontario!Print_Area</vt:lpstr>
      <vt:lpstr>'Orange County'!Print_Area</vt:lpstr>
      <vt:lpstr>Sacramento!Print_Area</vt:lpstr>
      <vt:lpstr>'San Francisco'!Print_Area</vt:lpstr>
      <vt:lpstr>'San Jose'!Print_Area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temp1</dc:creator>
  <cp:lastModifiedBy>Microsoft Office User</cp:lastModifiedBy>
  <cp:lastPrinted>2019-08-08T15:34:37Z</cp:lastPrinted>
  <dcterms:created xsi:type="dcterms:W3CDTF">2008-12-18T23:04:54Z</dcterms:created>
  <dcterms:modified xsi:type="dcterms:W3CDTF">2022-04-06T23:42:44Z</dcterms:modified>
</cp:coreProperties>
</file>