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INDUSTRY WEBSITE/#Research Pages/Airport Traffic/Reports/12 December /"/>
    </mc:Choice>
  </mc:AlternateContent>
  <xr:revisionPtr revIDLastSave="0" documentId="13_ncr:1_{D9D90664-031A-364A-98B6-183ECEF4DDE0}" xr6:coauthVersionLast="47" xr6:coauthVersionMax="47" xr10:uidLastSave="{00000000-0000-0000-0000-000000000000}"/>
  <bookViews>
    <workbookView xWindow="13360" yWindow="680" windowWidth="28680" windowHeight="18900" tabRatio="913" xr2:uid="{00000000-000D-0000-FFFF-FFFF00000000}"/>
  </bookViews>
  <sheets>
    <sheet name="CALIFORNIA" sheetId="14" r:id="rId1"/>
    <sheet name="Los Angeles" sheetId="2" r:id="rId2"/>
    <sheet name="Burbank" sheetId="1" r:id="rId3"/>
    <sheet name="Long Beach" sheetId="3" r:id="rId4"/>
    <sheet name="Oakland" sheetId="4" r:id="rId5"/>
    <sheet name="Ontario" sheetId="5" r:id="rId6"/>
    <sheet name="Orange County" sheetId="10" r:id="rId7"/>
    <sheet name="Sacramento" sheetId="6" r:id="rId8"/>
    <sheet name="San Diego" sheetId="7" r:id="rId9"/>
    <sheet name="San Francisco" sheetId="9" r:id="rId10"/>
    <sheet name="San Jose" sheetId="8" r:id="rId11"/>
    <sheet name="High Low stats" sheetId="12" state="hidden" r:id="rId12"/>
  </sheets>
  <definedNames>
    <definedName name="_xlnm.Print_Area" localSheetId="2">Burbank!$A$1:$L$21</definedName>
    <definedName name="_xlnm.Print_Area" localSheetId="0">CALIFORNIA!$A$1:$M$33</definedName>
    <definedName name="_xlnm.Print_Area" localSheetId="11">'High Low stats'!$A$3:$I$46</definedName>
    <definedName name="_xlnm.Print_Area" localSheetId="3">'Long Beach'!$A$1:$L$21</definedName>
    <definedName name="_xlnm.Print_Area" localSheetId="1">'Los Angeles'!$A$1:$M$21</definedName>
    <definedName name="_xlnm.Print_Area" localSheetId="4">Oakland!$A$1:$L$21</definedName>
    <definedName name="_xlnm.Print_Area" localSheetId="5">Ontario!$A$1:$M$21</definedName>
    <definedName name="_xlnm.Print_Area" localSheetId="6">'Orange County'!$A$1:$M$21</definedName>
    <definedName name="_xlnm.Print_Area" localSheetId="7">Sacramento!$A$1:$M$21</definedName>
    <definedName name="_xlnm.Print_Area" localSheetId="9">'San Francisco'!$A$1:$M$21</definedName>
    <definedName name="_xlnm.Print_Area" localSheetId="10">'San Jose'!$A$1:$M$21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4" l="1"/>
  <c r="F18" i="14"/>
  <c r="C18" i="14"/>
  <c r="B18" i="14"/>
  <c r="C18" i="8"/>
  <c r="G18" i="8"/>
  <c r="K18" i="9"/>
  <c r="K18" i="7"/>
  <c r="G18" i="7"/>
  <c r="C18" i="7"/>
  <c r="C18" i="6"/>
  <c r="K18" i="6"/>
  <c r="G18" i="6"/>
  <c r="K18" i="10"/>
  <c r="F18" i="10"/>
  <c r="C18" i="10"/>
  <c r="K18" i="5"/>
  <c r="G18" i="5"/>
  <c r="J18" i="4"/>
  <c r="K18" i="4"/>
  <c r="G18" i="4"/>
  <c r="C18" i="3"/>
  <c r="G18" i="3"/>
  <c r="G18" i="1"/>
  <c r="C18" i="1"/>
  <c r="K18" i="2"/>
  <c r="G18" i="2"/>
  <c r="C18" i="2"/>
  <c r="K18" i="14"/>
  <c r="B17" i="14"/>
  <c r="F9" i="14"/>
  <c r="F10" i="14"/>
  <c r="F11" i="14"/>
  <c r="F12" i="14"/>
  <c r="F13" i="14"/>
  <c r="F14" i="14"/>
  <c r="F15" i="14"/>
  <c r="F16" i="14"/>
  <c r="F17" i="14"/>
  <c r="J9" i="14"/>
  <c r="J10" i="14"/>
  <c r="J11" i="14"/>
  <c r="J12" i="14"/>
  <c r="J13" i="14"/>
  <c r="J14" i="14"/>
  <c r="J15" i="14"/>
  <c r="J16" i="14"/>
  <c r="J17" i="14"/>
  <c r="B18" i="2"/>
  <c r="J18" i="2"/>
  <c r="K18" i="8"/>
  <c r="F18" i="8"/>
  <c r="B17" i="8"/>
  <c r="F17" i="8"/>
  <c r="J17" i="8"/>
  <c r="C18" i="9"/>
  <c r="G18" i="9"/>
  <c r="B17" i="9"/>
  <c r="B17" i="7"/>
  <c r="J18" i="6"/>
  <c r="B17" i="6"/>
  <c r="J17" i="6"/>
  <c r="F17" i="6"/>
  <c r="G18" i="10"/>
  <c r="F17" i="10"/>
  <c r="F16" i="10"/>
  <c r="F15" i="10"/>
  <c r="C18" i="5"/>
  <c r="F17" i="5"/>
  <c r="J17" i="5"/>
  <c r="F18" i="3"/>
  <c r="F18" i="4"/>
  <c r="B18" i="4"/>
  <c r="C18" i="4"/>
  <c r="B17" i="4"/>
  <c r="H17" i="4"/>
  <c r="L17" i="4"/>
  <c r="L16" i="4"/>
  <c r="K17" i="4"/>
  <c r="G17" i="4"/>
  <c r="J17" i="4"/>
  <c r="F17" i="4"/>
  <c r="B17" i="2"/>
  <c r="J18" i="14"/>
  <c r="B18" i="6" l="1"/>
  <c r="J18" i="5"/>
  <c r="L15" i="4"/>
  <c r="H15" i="4"/>
  <c r="H16" i="4"/>
  <c r="B18" i="3"/>
  <c r="L15" i="5"/>
  <c r="L16" i="5"/>
  <c r="J16" i="8"/>
  <c r="J15" i="8"/>
  <c r="F16" i="8"/>
  <c r="F15" i="8"/>
  <c r="J16" i="6"/>
  <c r="J15" i="6"/>
  <c r="F16" i="6"/>
  <c r="F15" i="6"/>
  <c r="J18" i="8" l="1"/>
  <c r="B18" i="8"/>
  <c r="J18" i="9"/>
  <c r="F18" i="9"/>
  <c r="B18" i="9"/>
  <c r="J18" i="7"/>
  <c r="F18" i="7"/>
  <c r="B18" i="7"/>
  <c r="F18" i="6"/>
  <c r="J18" i="10"/>
  <c r="B18" i="5"/>
  <c r="F18" i="1"/>
  <c r="B18" i="1"/>
  <c r="F18" i="2"/>
  <c r="H8" i="4"/>
  <c r="H9" i="4"/>
  <c r="H10" i="4"/>
  <c r="H12" i="4"/>
  <c r="H13" i="4"/>
  <c r="H14" i="4"/>
  <c r="J14" i="5"/>
  <c r="F14" i="10"/>
  <c r="B14" i="6"/>
  <c r="J14" i="6"/>
  <c r="B14" i="7"/>
  <c r="B14" i="9"/>
  <c r="B14" i="8"/>
  <c r="F14" i="8"/>
  <c r="J14" i="8"/>
  <c r="B13" i="7"/>
  <c r="B13" i="9"/>
  <c r="B13" i="8"/>
  <c r="J13" i="8"/>
  <c r="F13" i="8"/>
  <c r="B13" i="6"/>
  <c r="B12" i="6"/>
  <c r="J13" i="6"/>
  <c r="F13" i="6"/>
  <c r="F13" i="10"/>
  <c r="F13" i="5"/>
  <c r="J13" i="5"/>
  <c r="B13" i="2"/>
  <c r="B12" i="9"/>
  <c r="J12" i="8"/>
  <c r="F12" i="8"/>
  <c r="B12" i="8" s="1"/>
  <c r="B12" i="7"/>
  <c r="B11" i="6"/>
  <c r="J12" i="6"/>
  <c r="F12" i="6"/>
  <c r="F12" i="10"/>
  <c r="F12" i="5"/>
  <c r="J12" i="5"/>
  <c r="B12" i="2"/>
  <c r="F11" i="6"/>
  <c r="J11" i="6"/>
  <c r="B11" i="9"/>
  <c r="J11" i="8" l="1"/>
  <c r="F11" i="8"/>
  <c r="F10" i="8"/>
  <c r="F11" i="10"/>
  <c r="F11" i="5"/>
  <c r="F10" i="5"/>
  <c r="J11" i="5"/>
  <c r="D17" i="3"/>
  <c r="B11" i="2"/>
  <c r="B11" i="8" l="1"/>
  <c r="F10" i="10"/>
  <c r="F9" i="10"/>
  <c r="B10" i="9"/>
  <c r="B9" i="9"/>
  <c r="J10" i="8"/>
  <c r="B9" i="8"/>
  <c r="F9" i="8"/>
  <c r="J9" i="8"/>
  <c r="B10" i="7"/>
  <c r="B10" i="6"/>
  <c r="J10" i="6"/>
  <c r="F10" i="6"/>
  <c r="B9" i="6"/>
  <c r="J9" i="6"/>
  <c r="F9" i="6"/>
  <c r="J10" i="5"/>
  <c r="F9" i="5"/>
  <c r="J9" i="5"/>
  <c r="B10" i="2"/>
  <c r="B9" i="2"/>
  <c r="B8" i="7"/>
  <c r="D8" i="4"/>
  <c r="B10" i="8" l="1"/>
  <c r="D18" i="2"/>
  <c r="J8" i="8"/>
  <c r="J8" i="6"/>
  <c r="J8" i="14" l="1"/>
  <c r="F8" i="8"/>
  <c r="F8" i="14" s="1"/>
  <c r="B8" i="9"/>
  <c r="B7" i="9"/>
  <c r="B8" i="6"/>
  <c r="F8" i="6"/>
  <c r="F8" i="10"/>
  <c r="F8" i="5"/>
  <c r="J8" i="5"/>
  <c r="J7" i="5"/>
  <c r="B8" i="2"/>
  <c r="D6" i="1"/>
  <c r="H6" i="2"/>
  <c r="L6" i="2"/>
  <c r="D6" i="2"/>
  <c r="B8" i="8" l="1"/>
  <c r="J7" i="8"/>
  <c r="J7" i="14" s="1"/>
  <c r="F7" i="8"/>
  <c r="J7" i="6"/>
  <c r="B7" i="6" s="1"/>
  <c r="F7" i="6"/>
  <c r="F7" i="10"/>
  <c r="F7" i="5"/>
  <c r="K7" i="5"/>
  <c r="F7" i="14" l="1"/>
  <c r="B7" i="8"/>
  <c r="B7" i="2"/>
  <c r="F6" i="14"/>
  <c r="J6" i="14"/>
  <c r="B6" i="9"/>
  <c r="B6" i="8"/>
  <c r="J6" i="8"/>
  <c r="F6" i="8"/>
  <c r="B6" i="7"/>
  <c r="H6" i="7"/>
  <c r="B6" i="6"/>
  <c r="J6" i="6"/>
  <c r="F6" i="6"/>
  <c r="F6" i="10"/>
  <c r="H6" i="10"/>
  <c r="D6" i="10"/>
  <c r="L6" i="10"/>
  <c r="L9" i="10"/>
  <c r="L7" i="10"/>
  <c r="F6" i="5"/>
  <c r="G6" i="5"/>
  <c r="K10" i="5"/>
  <c r="K15" i="5"/>
  <c r="K16" i="5"/>
  <c r="K17" i="5"/>
  <c r="K6" i="5"/>
  <c r="J6" i="5"/>
  <c r="B6" i="2" l="1"/>
  <c r="C6" i="2"/>
  <c r="D18" i="3"/>
  <c r="D16" i="3"/>
  <c r="D15" i="3"/>
  <c r="D14" i="3"/>
  <c r="D13" i="3"/>
  <c r="D12" i="3"/>
  <c r="D11" i="3"/>
  <c r="D10" i="3"/>
  <c r="D9" i="3"/>
  <c r="D8" i="3"/>
  <c r="D7" i="3"/>
  <c r="D6" i="3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17" i="10"/>
  <c r="D14" i="10"/>
  <c r="D13" i="10"/>
  <c r="D12" i="10"/>
  <c r="D11" i="10"/>
  <c r="D10" i="10"/>
  <c r="D9" i="10"/>
  <c r="D8" i="10"/>
  <c r="D7" i="10"/>
  <c r="D18" i="4"/>
  <c r="D17" i="4"/>
  <c r="D16" i="4"/>
  <c r="D15" i="4"/>
  <c r="D14" i="4"/>
  <c r="D13" i="4"/>
  <c r="D12" i="4"/>
  <c r="D11" i="4"/>
  <c r="D10" i="4"/>
  <c r="D9" i="4"/>
  <c r="D7" i="4"/>
  <c r="D6" i="4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18" i="9"/>
  <c r="D17" i="9"/>
  <c r="D16" i="9"/>
  <c r="D13" i="9"/>
  <c r="D12" i="9"/>
  <c r="D11" i="9"/>
  <c r="D10" i="9"/>
  <c r="D9" i="9"/>
  <c r="D8" i="9"/>
  <c r="D7" i="9"/>
  <c r="D6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H18" i="7"/>
  <c r="H17" i="7"/>
  <c r="H16" i="7"/>
  <c r="H15" i="7"/>
  <c r="H14" i="7"/>
  <c r="H13" i="7"/>
  <c r="H12" i="7"/>
  <c r="H11" i="7"/>
  <c r="H10" i="7"/>
  <c r="H9" i="7"/>
  <c r="H8" i="7"/>
  <c r="H7" i="7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L18" i="4"/>
  <c r="L14" i="4"/>
  <c r="L13" i="4"/>
  <c r="L12" i="4"/>
  <c r="L10" i="4"/>
  <c r="L9" i="4"/>
  <c r="L8" i="4"/>
  <c r="L7" i="4"/>
  <c r="L6" i="4"/>
  <c r="H18" i="4"/>
  <c r="H7" i="4"/>
  <c r="H6" i="4"/>
  <c r="L17" i="10"/>
  <c r="L16" i="10"/>
  <c r="L15" i="10"/>
  <c r="L14" i="10"/>
  <c r="L13" i="10"/>
  <c r="L12" i="10"/>
  <c r="L11" i="10"/>
  <c r="L10" i="10"/>
  <c r="L8" i="10"/>
  <c r="H17" i="10"/>
  <c r="H13" i="10"/>
  <c r="H12" i="10"/>
  <c r="H11" i="10"/>
  <c r="H10" i="10"/>
  <c r="H9" i="10"/>
  <c r="H8" i="10"/>
  <c r="H7" i="10"/>
  <c r="L18" i="5"/>
  <c r="L17" i="5"/>
  <c r="L14" i="5"/>
  <c r="L13" i="5"/>
  <c r="L12" i="5"/>
  <c r="L11" i="5"/>
  <c r="L10" i="5"/>
  <c r="L9" i="5"/>
  <c r="L8" i="5"/>
  <c r="L7" i="5"/>
  <c r="L6" i="5"/>
  <c r="H6" i="5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6" i="1"/>
  <c r="H18" i="1"/>
  <c r="H17" i="1"/>
  <c r="H16" i="1"/>
  <c r="H15" i="1"/>
  <c r="H14" i="1"/>
  <c r="H13" i="1"/>
  <c r="H12" i="1"/>
  <c r="H11" i="1"/>
  <c r="H10" i="1"/>
  <c r="H9" i="1"/>
  <c r="H8" i="1"/>
  <c r="H7" i="1"/>
  <c r="D18" i="1"/>
  <c r="D17" i="1"/>
  <c r="D16" i="1"/>
  <c r="D15" i="1"/>
  <c r="D14" i="1"/>
  <c r="D13" i="1"/>
  <c r="D12" i="1"/>
  <c r="D11" i="1"/>
  <c r="D10" i="1"/>
  <c r="D9" i="1"/>
  <c r="D8" i="1"/>
  <c r="D7" i="1"/>
  <c r="L18" i="2"/>
  <c r="L17" i="2"/>
  <c r="L16" i="2"/>
  <c r="L15" i="2"/>
  <c r="L14" i="2"/>
  <c r="L13" i="2"/>
  <c r="L12" i="2"/>
  <c r="L11" i="2"/>
  <c r="L10" i="2"/>
  <c r="L9" i="2"/>
  <c r="L8" i="2"/>
  <c r="L7" i="2"/>
  <c r="H8" i="2"/>
  <c r="H9" i="2"/>
  <c r="H10" i="2"/>
  <c r="H11" i="2"/>
  <c r="H12" i="2"/>
  <c r="H13" i="2"/>
  <c r="H14" i="2"/>
  <c r="H15" i="2"/>
  <c r="H16" i="2"/>
  <c r="H17" i="2"/>
  <c r="H18" i="2"/>
  <c r="H7" i="2"/>
  <c r="D17" i="2"/>
  <c r="D16" i="2"/>
  <c r="D15" i="2"/>
  <c r="D14" i="2"/>
  <c r="D13" i="2"/>
  <c r="D12" i="2"/>
  <c r="D11" i="2"/>
  <c r="D10" i="2"/>
  <c r="D9" i="2"/>
  <c r="D8" i="2"/>
  <c r="D7" i="2"/>
  <c r="C17" i="2"/>
  <c r="C17" i="7" l="1"/>
  <c r="K17" i="8" l="1"/>
  <c r="L17" i="8" s="1"/>
  <c r="G17" i="8"/>
  <c r="K16" i="8"/>
  <c r="L16" i="8" s="1"/>
  <c r="G16" i="8"/>
  <c r="H16" i="8" s="1"/>
  <c r="K17" i="6"/>
  <c r="C17" i="6" s="1"/>
  <c r="G17" i="6"/>
  <c r="K16" i="6"/>
  <c r="G16" i="6"/>
  <c r="C16" i="6" s="1"/>
  <c r="G17" i="10"/>
  <c r="G16" i="10"/>
  <c r="G17" i="5"/>
  <c r="H17" i="5" s="1"/>
  <c r="G16" i="5"/>
  <c r="K13" i="5"/>
  <c r="G15" i="5"/>
  <c r="G15" i="10"/>
  <c r="K14" i="5"/>
  <c r="G14" i="5" s="1"/>
  <c r="H14" i="5" s="1"/>
  <c r="K15" i="8"/>
  <c r="G15" i="8"/>
  <c r="H15" i="8" s="1"/>
  <c r="G15" i="9"/>
  <c r="K15" i="6"/>
  <c r="G15" i="6"/>
  <c r="C15" i="6" s="1"/>
  <c r="G13" i="8"/>
  <c r="H13" i="8" s="1"/>
  <c r="G14" i="8"/>
  <c r="H14" i="8" s="1"/>
  <c r="C17" i="8" l="1"/>
  <c r="D17" i="8" s="1"/>
  <c r="H17" i="8"/>
  <c r="C15" i="8"/>
  <c r="D15" i="8" s="1"/>
  <c r="L15" i="8"/>
  <c r="C16" i="8"/>
  <c r="D16" i="8" s="1"/>
  <c r="K16" i="14"/>
  <c r="L16" i="14" s="1"/>
  <c r="K15" i="14"/>
  <c r="G17" i="14"/>
  <c r="H17" i="14" s="1"/>
  <c r="G15" i="14"/>
  <c r="G16" i="14"/>
  <c r="K17" i="14"/>
  <c r="L17" i="14" s="1"/>
  <c r="K14" i="8"/>
  <c r="L14" i="8" s="1"/>
  <c r="K13" i="8"/>
  <c r="K14" i="6"/>
  <c r="G14" i="6"/>
  <c r="K13" i="6"/>
  <c r="G14" i="10"/>
  <c r="G13" i="6"/>
  <c r="C13" i="6" s="1"/>
  <c r="G13" i="5"/>
  <c r="H13" i="5" s="1"/>
  <c r="C13" i="2"/>
  <c r="G13" i="10"/>
  <c r="K12" i="8"/>
  <c r="L12" i="8" s="1"/>
  <c r="G12" i="8"/>
  <c r="H12" i="8" s="1"/>
  <c r="G12" i="6"/>
  <c r="K12" i="6"/>
  <c r="C12" i="6" s="1"/>
  <c r="K12" i="5"/>
  <c r="G12" i="5" s="1"/>
  <c r="H12" i="5" s="1"/>
  <c r="G12" i="10"/>
  <c r="C11" i="7"/>
  <c r="C10" i="8"/>
  <c r="D10" i="8" s="1"/>
  <c r="K11" i="8"/>
  <c r="L11" i="8" s="1"/>
  <c r="G11" i="8"/>
  <c r="G11" i="6"/>
  <c r="K11" i="6" s="1"/>
  <c r="G11" i="10"/>
  <c r="K11" i="5"/>
  <c r="G11" i="5" s="1"/>
  <c r="H11" i="5" s="1"/>
  <c r="C10" i="2"/>
  <c r="C11" i="2"/>
  <c r="G10" i="10"/>
  <c r="K10" i="8"/>
  <c r="L10" i="8" s="1"/>
  <c r="G10" i="8"/>
  <c r="H10" i="8" s="1"/>
  <c r="K9" i="8"/>
  <c r="L9" i="8" s="1"/>
  <c r="G9" i="8"/>
  <c r="H9" i="8" s="1"/>
  <c r="K8" i="8"/>
  <c r="L8" i="8" s="1"/>
  <c r="G8" i="8"/>
  <c r="K10" i="6"/>
  <c r="G10" i="6"/>
  <c r="C10" i="6" s="1"/>
  <c r="K9" i="6"/>
  <c r="G9" i="6"/>
  <c r="K8" i="6"/>
  <c r="C8" i="6" s="1"/>
  <c r="G8" i="6"/>
  <c r="G9" i="10"/>
  <c r="G8" i="10"/>
  <c r="K9" i="5"/>
  <c r="G9" i="5"/>
  <c r="H9" i="5" s="1"/>
  <c r="K8" i="5"/>
  <c r="C9" i="2"/>
  <c r="C8" i="2"/>
  <c r="L18" i="10"/>
  <c r="G7" i="10"/>
  <c r="K7" i="8"/>
  <c r="L7" i="8" s="1"/>
  <c r="G7" i="8"/>
  <c r="H7" i="8" s="1"/>
  <c r="C7" i="7"/>
  <c r="G7" i="6"/>
  <c r="G6" i="6"/>
  <c r="K7" i="6"/>
  <c r="C7" i="6" s="1"/>
  <c r="G6" i="10"/>
  <c r="K6" i="8"/>
  <c r="G6" i="8"/>
  <c r="C8" i="7"/>
  <c r="C9" i="7"/>
  <c r="C10" i="7"/>
  <c r="C12" i="7"/>
  <c r="C13" i="7"/>
  <c r="C14" i="7"/>
  <c r="C15" i="7"/>
  <c r="C16" i="7"/>
  <c r="C6" i="7"/>
  <c r="K6" i="6"/>
  <c r="C7" i="2"/>
  <c r="C12" i="2"/>
  <c r="C14" i="2"/>
  <c r="C15" i="2"/>
  <c r="C16" i="2"/>
  <c r="C7" i="9"/>
  <c r="C8" i="9"/>
  <c r="C9" i="9"/>
  <c r="C10" i="9"/>
  <c r="C11" i="9"/>
  <c r="C12" i="9"/>
  <c r="C13" i="9"/>
  <c r="C14" i="9"/>
  <c r="D14" i="9" s="1"/>
  <c r="C15" i="9"/>
  <c r="D15" i="9" s="1"/>
  <c r="C16" i="9"/>
  <c r="C17" i="9"/>
  <c r="C17" i="14" s="1"/>
  <c r="D17" i="14" s="1"/>
  <c r="C6" i="9"/>
  <c r="L15" i="14" l="1"/>
  <c r="C11" i="8"/>
  <c r="D11" i="8" s="1"/>
  <c r="H11" i="8"/>
  <c r="H18" i="8"/>
  <c r="H6" i="8"/>
  <c r="C6" i="8"/>
  <c r="D6" i="8" s="1"/>
  <c r="L18" i="8"/>
  <c r="L6" i="8"/>
  <c r="C8" i="8"/>
  <c r="D8" i="8" s="1"/>
  <c r="H8" i="8"/>
  <c r="C13" i="8"/>
  <c r="D13" i="8" s="1"/>
  <c r="L13" i="8"/>
  <c r="C7" i="8"/>
  <c r="C16" i="14"/>
  <c r="D16" i="14" s="1"/>
  <c r="C9" i="6"/>
  <c r="C9" i="8"/>
  <c r="D9" i="8" s="1"/>
  <c r="C14" i="8"/>
  <c r="D14" i="8" s="1"/>
  <c r="K13" i="14"/>
  <c r="L13" i="14" s="1"/>
  <c r="C12" i="8"/>
  <c r="D12" i="8" s="1"/>
  <c r="G11" i="14"/>
  <c r="K14" i="14"/>
  <c r="L14" i="14" s="1"/>
  <c r="C6" i="6"/>
  <c r="K8" i="14"/>
  <c r="L8" i="14" s="1"/>
  <c r="G12" i="14"/>
  <c r="H12" i="14" s="1"/>
  <c r="G10" i="5"/>
  <c r="H10" i="5" s="1"/>
  <c r="G7" i="5"/>
  <c r="K10" i="14"/>
  <c r="L10" i="14" s="1"/>
  <c r="G7" i="14"/>
  <c r="G8" i="5"/>
  <c r="H8" i="5" s="1"/>
  <c r="K12" i="14"/>
  <c r="L12" i="14" s="1"/>
  <c r="G6" i="14"/>
  <c r="G13" i="14"/>
  <c r="C15" i="14"/>
  <c r="D15" i="14" s="1"/>
  <c r="K11" i="14"/>
  <c r="L11" i="14" s="1"/>
  <c r="K6" i="14"/>
  <c r="G9" i="14"/>
  <c r="H9" i="14" s="1"/>
  <c r="K9" i="14"/>
  <c r="L9" i="14" s="1"/>
  <c r="C14" i="6"/>
  <c r="K7" i="14"/>
  <c r="L7" i="14" s="1"/>
  <c r="G14" i="14"/>
  <c r="H11" i="14" l="1"/>
  <c r="H7" i="5"/>
  <c r="H6" i="14"/>
  <c r="H7" i="14"/>
  <c r="C7" i="14"/>
  <c r="D7" i="14" s="1"/>
  <c r="L6" i="14"/>
  <c r="D18" i="8"/>
  <c r="D7" i="8"/>
  <c r="G10" i="14"/>
  <c r="H10" i="14" s="1"/>
  <c r="G8" i="14"/>
  <c r="H8" i="14" s="1"/>
  <c r="C12" i="14"/>
  <c r="D12" i="14" s="1"/>
  <c r="C14" i="14"/>
  <c r="D14" i="14" s="1"/>
  <c r="H14" i="14"/>
  <c r="C13" i="14"/>
  <c r="D13" i="14" s="1"/>
  <c r="H13" i="14"/>
  <c r="C6" i="14"/>
  <c r="L18" i="14"/>
  <c r="C9" i="14"/>
  <c r="D9" i="14" s="1"/>
  <c r="C11" i="14"/>
  <c r="C10" i="14" l="1"/>
  <c r="D10" i="14" s="1"/>
  <c r="D6" i="14"/>
  <c r="C8" i="14"/>
  <c r="D8" i="14" s="1"/>
  <c r="H14" i="10" l="1"/>
  <c r="D11" i="14"/>
  <c r="D18" i="14"/>
  <c r="D15" i="10"/>
  <c r="D16" i="10"/>
  <c r="B18" i="10"/>
  <c r="D18" i="10"/>
  <c r="H15" i="5"/>
  <c r="H16" i="5"/>
  <c r="F18" i="5"/>
  <c r="H18" i="5" s="1"/>
  <c r="H15" i="14"/>
  <c r="H16" i="14"/>
  <c r="H18" i="14"/>
  <c r="H16" i="10"/>
  <c r="H15" i="10"/>
  <c r="H18" i="10"/>
</calcChain>
</file>

<file path=xl/sharedStrings.xml><?xml version="1.0" encoding="utf-8"?>
<sst xmlns="http://schemas.openxmlformats.org/spreadsheetml/2006/main" count="260" uniqueCount="54">
  <si>
    <t>Long Beach -LGB</t>
  </si>
  <si>
    <t>Los Angeles - LAX</t>
  </si>
  <si>
    <t>San Francisco- SFO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</si>
  <si>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</si>
  <si>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</si>
  <si>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</si>
  <si>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</si>
  <si>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</si>
  <si>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</si>
  <si>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</si>
  <si>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</si>
  <si>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</si>
  <si>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</si>
  <si>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</si>
  <si>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</si>
  <si>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Domestic</t>
  </si>
  <si>
    <t>International</t>
  </si>
  <si>
    <t>Burbank- Bob Hope</t>
  </si>
  <si>
    <t>Oakland- OAK</t>
  </si>
  <si>
    <t>Ontario-ONT</t>
  </si>
  <si>
    <t>Sacramento-SMF</t>
  </si>
  <si>
    <t>San Diego-SAN</t>
  </si>
  <si>
    <t>San Jose-SJC</t>
  </si>
  <si>
    <t>Orange County Santa Ana/John Wayne- SNA</t>
  </si>
  <si>
    <t>Long Beach-LGB</t>
  </si>
  <si>
    <t>Oakland-OAK</t>
  </si>
  <si>
    <t>San Francisco-SFO</t>
  </si>
  <si>
    <t>Los Angeles-LAX</t>
  </si>
  <si>
    <t>YTD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</si>
  <si>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</si>
  <si>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color theme="9" tint="-0.249977111117893"/>
        <rFont val="Calibri"/>
        <family val="2"/>
        <scheme val="minor"/>
      </rPr>
      <t>Highest</t>
    </r>
    <r>
      <rPr>
        <b/>
        <i/>
        <sz val="14"/>
        <color theme="1"/>
        <rFont val="Calibri"/>
        <family val="2"/>
        <scheme val="minor"/>
      </rPr>
      <t xml:space="preserve"> and</t>
    </r>
    <r>
      <rPr>
        <b/>
        <i/>
        <sz val="14"/>
        <color theme="4" tint="-0.249977111117893"/>
        <rFont val="Calibri"/>
        <family val="2"/>
        <scheme val="minor"/>
      </rPr>
      <t xml:space="preserve"> lowest</t>
    </r>
    <r>
      <rPr>
        <b/>
        <i/>
        <sz val="14"/>
        <color theme="1"/>
        <rFont val="Calibri"/>
        <family val="2"/>
        <scheme val="minor"/>
      </rPr>
      <t xml:space="preserve"> travel months in ranking of busiest to slowest airports</t>
    </r>
  </si>
  <si>
    <t>Highest traveled month:</t>
  </si>
  <si>
    <t>Lowest traveled month:</t>
  </si>
  <si>
    <t>(out of 10 airports)</t>
  </si>
  <si>
    <t>Orange County- SNA</t>
  </si>
  <si>
    <t xml:space="preserve">YTD </t>
  </si>
  <si>
    <t>DATA TO BE COMPILED AT A LATER DATE</t>
  </si>
  <si>
    <t>Source: Long Beach Airport</t>
  </si>
  <si>
    <t>Source: LAWA</t>
  </si>
  <si>
    <t>Source: John Wayne Airport</t>
  </si>
  <si>
    <t>Source: Oakland International Airport</t>
  </si>
  <si>
    <t>Source: Mineta San Jose International Airport</t>
  </si>
  <si>
    <t>Source: San Francisco International Airport</t>
  </si>
  <si>
    <t>Source: Sacramento International Airport</t>
  </si>
  <si>
    <t>Source: San Diego International Airport</t>
  </si>
  <si>
    <t>Source: Bob Hope Airport</t>
  </si>
  <si>
    <t>Sources:  Individual airports</t>
  </si>
  <si>
    <t>Note:  Monthly figures may not sum to YTD totals due to data revisions</t>
  </si>
  <si>
    <t>YTD *</t>
  </si>
  <si>
    <t>Total</t>
  </si>
  <si>
    <t>YOY % change</t>
  </si>
  <si>
    <t xml:space="preserve">Note:  Monthly figures may not sum to YTD totals due to data revisions. </t>
  </si>
  <si>
    <t xml:space="preserve">CALIFORNIA </t>
  </si>
  <si>
    <t>The domestic/international breakdown is unavailable on the OAK website for certain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</si>
</sst>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C60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5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4" xfId="0" applyFont="1" applyBorder="1"/>
    <xf numFmtId="0" fontId="5" fillId="0" borderId="0" xfId="0" applyFont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7" fontId="4" fillId="4" borderId="1" xfId="0" applyNumberFormat="1" applyFont="1" applyFill="1" applyBorder="1" applyAlignment="1">
      <alignment horizontal="center"/>
    </xf>
    <xf numFmtId="3" fontId="0" fillId="3" borderId="3" xfId="0" applyNumberForma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3" fillId="0" borderId="0" xfId="0" applyFont="1"/>
    <xf numFmtId="16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9" fillId="0" borderId="0" xfId="0" applyFont="1"/>
    <xf numFmtId="0" fontId="10" fillId="0" borderId="0" xfId="0" applyFont="1"/>
    <xf numFmtId="0" fontId="9" fillId="0" borderId="4" xfId="0" applyFont="1" applyBorder="1"/>
    <xf numFmtId="0" fontId="1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2" fillId="0" borderId="1" xfId="0" applyFont="1" applyBorder="1"/>
    <xf numFmtId="3" fontId="14" fillId="0" borderId="0" xfId="0" applyNumberFormat="1" applyFont="1"/>
    <xf numFmtId="0" fontId="14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9" borderId="1" xfId="0" applyFont="1" applyFill="1" applyBorder="1"/>
    <xf numFmtId="164" fontId="14" fillId="0" borderId="1" xfId="2" applyNumberFormat="1" applyFont="1" applyBorder="1"/>
    <xf numFmtId="164" fontId="14" fillId="9" borderId="1" xfId="2" applyNumberFormat="1" applyFont="1" applyFill="1" applyBorder="1"/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/>
    </xf>
    <xf numFmtId="164" fontId="14" fillId="9" borderId="1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9" fontId="14" fillId="0" borderId="1" xfId="3" applyFont="1" applyBorder="1" applyAlignment="1">
      <alignment horizontal="center" vertical="center"/>
    </xf>
    <xf numFmtId="9" fontId="14" fillId="0" borderId="1" xfId="3" applyFont="1" applyBorder="1" applyAlignment="1">
      <alignment horizontal="center"/>
    </xf>
    <xf numFmtId="9" fontId="14" fillId="9" borderId="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14" fillId="7" borderId="1" xfId="3" applyFont="1" applyFill="1" applyBorder="1" applyAlignment="1">
      <alignment horizontal="center" vertical="center"/>
    </xf>
    <xf numFmtId="9" fontId="14" fillId="9" borderId="1" xfId="3" applyFont="1" applyFill="1" applyBorder="1" applyAlignment="1">
      <alignment horizontal="center" vertical="center"/>
    </xf>
    <xf numFmtId="164" fontId="14" fillId="7" borderId="1" xfId="2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65" fontId="14" fillId="0" borderId="1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/>
    </xf>
    <xf numFmtId="9" fontId="14" fillId="2" borderId="1" xfId="3" applyFont="1" applyFill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/>
    </xf>
    <xf numFmtId="3" fontId="14" fillId="9" borderId="1" xfId="2" applyNumberFormat="1" applyFont="1" applyFill="1" applyBorder="1" applyAlignment="1">
      <alignment horizontal="center"/>
    </xf>
    <xf numFmtId="164" fontId="14" fillId="0" borderId="0" xfId="0" applyNumberFormat="1" applyFont="1"/>
    <xf numFmtId="3" fontId="14" fillId="0" borderId="1" xfId="2" applyNumberFormat="1" applyFont="1" applyBorder="1" applyAlignment="1">
      <alignment horizontal="right"/>
    </xf>
    <xf numFmtId="3" fontId="14" fillId="9" borderId="1" xfId="2" applyNumberFormat="1" applyFont="1" applyFill="1" applyBorder="1" applyAlignment="1">
      <alignment horizontal="right"/>
    </xf>
    <xf numFmtId="164" fontId="14" fillId="9" borderId="1" xfId="2" applyNumberFormat="1" applyFont="1" applyFill="1" applyBorder="1" applyAlignment="1">
      <alignment horizontal="right"/>
    </xf>
    <xf numFmtId="164" fontId="14" fillId="0" borderId="1" xfId="2" applyNumberFormat="1" applyFont="1" applyBorder="1" applyAlignment="1">
      <alignment horizontal="right"/>
    </xf>
    <xf numFmtId="0" fontId="19" fillId="8" borderId="0" xfId="0" applyFont="1" applyFill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DF4D3"/>
      <color rgb="FFFDEDA9"/>
      <color rgb="FFF7C60F"/>
      <color rgb="FFF7E131"/>
      <color rgb="FFFFFC00"/>
      <color rgb="FFFFCC66"/>
      <color rgb="FF397DCF"/>
      <color rgb="FFE6AF00"/>
      <color rgb="FFA7FBFF"/>
      <color rgb="FFFBA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X23"/>
  <sheetViews>
    <sheetView tabSelected="1" zoomScaleNormal="100" zoomScaleSheetLayoutView="90" workbookViewId="0">
      <selection activeCell="G19" sqref="G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75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65">
        <v>15697415</v>
      </c>
      <c r="C6" s="41">
        <f t="shared" ref="C6:C14" si="0">SUM(G6,K6)</f>
        <v>15065795</v>
      </c>
      <c r="D6" s="49">
        <f>B6/C6-1</f>
        <v>4.1924106892467394E-2</v>
      </c>
      <c r="E6" s="28"/>
      <c r="F6" s="46">
        <f>'Los Angeles'!F6+Burbank!F6+'Long Beach'!F6+Ontario!F6+'Orange County'!F6+Oakland!F6+Sacramento!F6+'San Diego'!F6+'San Jose'!F6+'San Francisco'!F6</f>
        <v>12407188</v>
      </c>
      <c r="G6" s="46">
        <f>'Los Angeles'!G6+Burbank!G6+'Long Beach'!G6+Ontario!G6+'Orange County'!G6+Oakland!G6+Sacramento!G6+'San Diego'!G6+'San Jose'!G6+'San Francisco'!G6</f>
        <v>12301911</v>
      </c>
      <c r="H6" s="49">
        <f>F6/G6-1</f>
        <v>8.5577761048669654E-3</v>
      </c>
      <c r="I6" s="28"/>
      <c r="J6" s="46">
        <f>'Los Angeles'!J6+Ontario!J6+'Orange County'!J6+Oakland!J6+Sacramento!J6+'San Diego'!J6+'San Jose'!J6+'San Francisco'!J6</f>
        <v>3290227</v>
      </c>
      <c r="K6" s="46">
        <f>'Los Angeles'!K6+Ontario!K6+'Orange County'!K6+Oakland!K6+Sacramento!K6+'San Diego'!K6+'San Jose'!K6+'San Francisco'!K6</f>
        <v>2763884</v>
      </c>
      <c r="L6" s="49">
        <f>J6/K6-1</f>
        <v>0.19043599514306675</v>
      </c>
    </row>
    <row r="7" spans="1:50" ht="25" customHeight="1" x14ac:dyDescent="0.25">
      <c r="A7" s="61" t="s">
        <v>4</v>
      </c>
      <c r="B7" s="66">
        <v>14953150</v>
      </c>
      <c r="C7" s="56">
        <f>SUM(G7,K7)</f>
        <v>14085939</v>
      </c>
      <c r="D7" s="54">
        <f>B7/C7-1</f>
        <v>6.1565721674643026E-2</v>
      </c>
      <c r="E7" s="28"/>
      <c r="F7" s="47">
        <f>'Los Angeles'!F7+Burbank!F7+'Long Beach'!F7+Ontario!F7+'Orange County'!F7+Oakland!F7+Sacramento!F7+'San Diego'!F7+'San Jose'!F7+'San Francisco'!F7</f>
        <v>11292606</v>
      </c>
      <c r="G7" s="47">
        <f>'Los Angeles'!G7+Burbank!G7+'Long Beach'!G7+Ontario!G7+'Orange County'!G7+Oakland!G7+Sacramento!G7+'San Diego'!G7+'San Jose'!G7+'San Francisco'!G7</f>
        <v>11736103</v>
      </c>
      <c r="H7" s="55">
        <f>F7/G7-1</f>
        <v>-3.7789119608101607E-2</v>
      </c>
      <c r="I7" s="28"/>
      <c r="J7" s="47">
        <f>'Los Angeles'!J7+Ontario!J7+'Orange County'!J7+Oakland!J7+Sacramento!J7+'San Diego'!J7+'San Jose'!J7+'San Francisco'!J7</f>
        <v>2856073</v>
      </c>
      <c r="K7" s="47">
        <f>'Los Angeles'!K7+Ontario!K7+'Orange County'!K7+Oakland!K7+Sacramento!K7+'San Diego'!K7+'San Jose'!K7+'San Francisco'!K7</f>
        <v>2349836</v>
      </c>
      <c r="L7" s="55">
        <f>J7/K7-1</f>
        <v>0.21543503461518165</v>
      </c>
      <c r="N7" s="2"/>
      <c r="O7" s="2"/>
    </row>
    <row r="8" spans="1:50" ht="25" customHeight="1" x14ac:dyDescent="0.25">
      <c r="A8" s="60" t="s">
        <v>5</v>
      </c>
      <c r="B8" s="65">
        <v>17670880</v>
      </c>
      <c r="C8" s="41">
        <f t="shared" si="0"/>
        <v>17024547</v>
      </c>
      <c r="D8" s="49">
        <f t="shared" ref="D8:D18" si="1">B8/C8-1</f>
        <v>3.7964769341586546E-2</v>
      </c>
      <c r="E8" s="28"/>
      <c r="F8" s="46">
        <f>'Los Angeles'!F8+Burbank!F8+'Long Beach'!F8+Ontario!F8+'Orange County'!F8+Oakland!F8+Sacramento!F8+'San Diego'!F8+'San Jose'!F8+'San Francisco'!F8</f>
        <v>13337953</v>
      </c>
      <c r="G8" s="46">
        <f>'Los Angeles'!G8+Burbank!G8+'Long Beach'!G8+Ontario!G8+'Orange County'!G8+Oakland!G8+Sacramento!G8+'San Diego'!G8+'San Jose'!G8+'San Francisco'!G8</f>
        <v>14073326</v>
      </c>
      <c r="H8" s="49">
        <f t="shared" ref="H8:H17" si="2">F8/G8-1</f>
        <v>-5.2252964224661635E-2</v>
      </c>
      <c r="I8" s="28"/>
      <c r="J8" s="46">
        <f>'Los Angeles'!J8+Ontario!J8+'Orange County'!J8+Oakland!J8+Sacramento!J8+'San Diego'!J8+'San Jose'!J8+'San Francisco'!J8</f>
        <v>3428659</v>
      </c>
      <c r="K8" s="46">
        <f>'Los Angeles'!K8+Ontario!K8+'Orange County'!K8+Oakland!K8+Sacramento!K8+'San Diego'!K8+'San Jose'!K8+'San Francisco'!K8</f>
        <v>2951221</v>
      </c>
      <c r="L8" s="49">
        <f t="shared" ref="L8:L18" si="3">J8/K8-1</f>
        <v>0.16177643083998117</v>
      </c>
      <c r="N8" s="2"/>
      <c r="O8" s="2"/>
    </row>
    <row r="9" spans="1:50" ht="25" customHeight="1" x14ac:dyDescent="0.25">
      <c r="A9" s="61" t="s">
        <v>6</v>
      </c>
      <c r="B9" s="66">
        <v>17740047</v>
      </c>
      <c r="C9" s="56">
        <f t="shared" si="0"/>
        <v>17357756</v>
      </c>
      <c r="D9" s="54">
        <f t="shared" si="1"/>
        <v>2.2024217877011365E-2</v>
      </c>
      <c r="E9" s="28"/>
      <c r="F9" s="47">
        <f>'Los Angeles'!F9+Burbank!F9+'Long Beach'!F9+Ontario!F9+'Orange County'!F9+Oakland!F9+Sacramento!F9+'San Diego'!F9+'San Jose'!F9+'San Francisco'!F9</f>
        <v>13411479</v>
      </c>
      <c r="G9" s="47">
        <f>'Los Angeles'!G9+Burbank!G9+'Long Beach'!G9+Ontario!G9+'Orange County'!G9+Oakland!G9+Sacramento!G9+'San Diego'!G9+'San Jose'!G9+'San Francisco'!G9</f>
        <v>14268221</v>
      </c>
      <c r="H9" s="55">
        <f t="shared" si="2"/>
        <v>-6.0045467476288694E-2</v>
      </c>
      <c r="I9" s="28"/>
      <c r="J9" s="47">
        <f>'Los Angeles'!J9+Ontario!J9+'Orange County'!J9+Oakland!J9+Sacramento!J9+'San Diego'!J9+'San Jose'!J9+'San Francisco'!J9</f>
        <v>3366716</v>
      </c>
      <c r="K9" s="47">
        <f>'Los Angeles'!K9+Ontario!K9+'Orange County'!K9+Oakland!K9+Sacramento!K9+'San Diego'!K9+'San Jose'!K9+'San Francisco'!K9</f>
        <v>3089535</v>
      </c>
      <c r="L9" s="55">
        <f t="shared" si="3"/>
        <v>8.971608996175795E-2</v>
      </c>
      <c r="N9" s="2"/>
    </row>
    <row r="10" spans="1:50" ht="25" customHeight="1" x14ac:dyDescent="0.25">
      <c r="A10" s="60" t="s">
        <v>7</v>
      </c>
      <c r="B10" s="65">
        <v>19113002</v>
      </c>
      <c r="C10" s="41">
        <f t="shared" si="0"/>
        <v>18455103</v>
      </c>
      <c r="D10" s="49">
        <f t="shared" si="1"/>
        <v>3.5648622497528093E-2</v>
      </c>
      <c r="E10" s="28"/>
      <c r="F10" s="46">
        <f>'Los Angeles'!F10+Burbank!F10+'Long Beach'!F10+Ontario!F10+'Orange County'!F10+Oakland!F10+Sacramento!F10+'San Diego'!F10+'San Jose'!F10+'San Francisco'!F10</f>
        <v>14466680</v>
      </c>
      <c r="G10" s="46">
        <f>'Los Angeles'!G10+Burbank!G10+'Long Beach'!G10+Ontario!G10+'Orange County'!G10+Oakland!G10+Sacramento!G10+'San Diego'!G10+'San Jose'!G10+'San Francisco'!G10</f>
        <v>15165560</v>
      </c>
      <c r="H10" s="49">
        <f t="shared" si="2"/>
        <v>-4.6083362566235575E-2</v>
      </c>
      <c r="I10" s="28"/>
      <c r="J10" s="46">
        <f>'Los Angeles'!J10+Ontario!J10+'Orange County'!J10+Oakland!J10+Sacramento!J10+'San Diego'!J10+'San Jose'!J10+'San Francisco'!J10</f>
        <v>3655484</v>
      </c>
      <c r="K10" s="46">
        <f>'Los Angeles'!K10+Ontario!K10+'Orange County'!K10+Oakland!K10+Sacramento!K10+'San Diego'!K10+'San Jose'!K10+'San Francisco'!K10</f>
        <v>3289543</v>
      </c>
      <c r="L10" s="49">
        <f t="shared" si="3"/>
        <v>0.11124371987233483</v>
      </c>
    </row>
    <row r="11" spans="1:50" ht="25" customHeight="1" x14ac:dyDescent="0.25">
      <c r="A11" s="61" t="s">
        <v>8</v>
      </c>
      <c r="B11" s="66">
        <v>19957375</v>
      </c>
      <c r="C11" s="56">
        <f t="shared" si="0"/>
        <v>18455358</v>
      </c>
      <c r="D11" s="54">
        <f t="shared" si="1"/>
        <v>8.1386500332315315E-2</v>
      </c>
      <c r="E11" s="28"/>
      <c r="F11" s="47">
        <f>'Los Angeles'!F11+Burbank!F11+'Long Beach'!F11+Ontario!F11+'Orange County'!F11+Oakland!F11+Sacramento!F11+'San Diego'!F11+'San Jose'!F11+'San Francisco'!F11</f>
        <v>14952052</v>
      </c>
      <c r="G11" s="47">
        <f>'Los Angeles'!G11+Burbank!G11+'Long Beach'!G11+Ontario!G11+'Orange County'!G11+Oakland!G11+Sacramento!G11+'San Diego'!G11+'San Jose'!G11+'San Francisco'!G11</f>
        <v>14808506</v>
      </c>
      <c r="H11" s="55">
        <f t="shared" si="2"/>
        <v>9.6934829212345086E-3</v>
      </c>
      <c r="I11" s="28"/>
      <c r="J11" s="47">
        <f>'Los Angeles'!J11+Ontario!J11+'Orange County'!J11+Oakland!J11+Sacramento!J11+'San Diego'!J11+'San Jose'!J11+'San Francisco'!J11</f>
        <v>3989002</v>
      </c>
      <c r="K11" s="47">
        <f>'Los Angeles'!K11+Ontario!K11+'Orange County'!K11+Oakland!K11+Sacramento!K11+'San Diego'!K11+'San Jose'!K11+'San Francisco'!K11</f>
        <v>3646852</v>
      </c>
      <c r="L11" s="55">
        <f t="shared" si="3"/>
        <v>9.3820643119051805E-2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65">
        <v>20822207</v>
      </c>
      <c r="C12" s="41">
        <f t="shared" si="0"/>
        <v>20483730</v>
      </c>
      <c r="D12" s="49">
        <f t="shared" si="1"/>
        <v>1.6524187733386375E-2</v>
      </c>
      <c r="E12" s="28"/>
      <c r="F12" s="46">
        <f>'Los Angeles'!F12+Burbank!F12+'Long Beach'!F12+Ontario!F12+'Orange County'!F12+Oakland!F12+Sacramento!F12+'San Diego'!F12+'San Jose'!F12+'San Francisco'!F12</f>
        <v>16498193</v>
      </c>
      <c r="G12" s="46">
        <f>'Los Angeles'!G12+Burbank!G12+'Long Beach'!G12+Ontario!G12+'Orange County'!G12+Oakland!G12+Sacramento!G12+'San Diego'!G12+'San Jose'!G12+'San Francisco'!G12</f>
        <v>16425563</v>
      </c>
      <c r="H12" s="49">
        <f t="shared" si="2"/>
        <v>4.4217662432637361E-3</v>
      </c>
      <c r="I12" s="28"/>
      <c r="J12" s="46">
        <f>'Los Angeles'!J12+Ontario!J12+'Orange County'!J12+Oakland!J12+Sacramento!J12+'San Diego'!J12+'San Jose'!J12+'San Francisco'!J12</f>
        <v>4324014</v>
      </c>
      <c r="K12" s="46">
        <f>'Los Angeles'!K12+Ontario!K12+'Orange County'!K12+Oakland!K12+Sacramento!K12+'San Diego'!K12+'San Jose'!K12+'San Francisco'!K12</f>
        <v>4058167</v>
      </c>
      <c r="L12" s="49">
        <f t="shared" si="3"/>
        <v>6.5509132571429429E-2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66">
        <v>19902714</v>
      </c>
      <c r="C13" s="56">
        <f t="shared" si="0"/>
        <v>19511628</v>
      </c>
      <c r="D13" s="54">
        <f t="shared" si="1"/>
        <v>2.0043740071305161E-2</v>
      </c>
      <c r="E13" s="28"/>
      <c r="F13" s="47">
        <f>'Los Angeles'!F13+Burbank!F13+'Long Beach'!F13+Ontario!F13+'Orange County'!F13+Oakland!F13+Sacramento!F13+'San Diego'!F13+'San Jose'!F13+'San Francisco'!F13</f>
        <v>15891606</v>
      </c>
      <c r="G13" s="47">
        <f>'Los Angeles'!G13+Burbank!G13+'Long Beach'!G13+Ontario!G13+'Orange County'!G13+Oakland!G13+Sacramento!G13+'San Diego'!G13+'San Jose'!G13+'San Francisco'!G13</f>
        <v>15706812</v>
      </c>
      <c r="H13" s="55">
        <f t="shared" si="2"/>
        <v>1.1765213717462197E-2</v>
      </c>
      <c r="I13" s="28"/>
      <c r="J13" s="47">
        <f>'Los Angeles'!J13+Ontario!J13+'Orange County'!J13+Oakland!J13+Sacramento!J13+'San Diego'!J13+'San Jose'!J13+'San Francisco'!J13</f>
        <v>4011108</v>
      </c>
      <c r="K13" s="47">
        <f>'Los Angeles'!K13+Ontario!K13+'Orange County'!K13+Oakland!K13+Sacramento!K13+'San Diego'!K13+'San Jose'!K13+'San Francisco'!K13</f>
        <v>3804816</v>
      </c>
      <c r="L13" s="55">
        <f t="shared" si="3"/>
        <v>5.4218653411886475E-2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5">
        <v>18034193</v>
      </c>
      <c r="C14" s="41">
        <f t="shared" si="0"/>
        <v>17872494</v>
      </c>
      <c r="D14" s="49">
        <f t="shared" si="1"/>
        <v>9.0473663048928898E-3</v>
      </c>
      <c r="E14" s="28"/>
      <c r="F14" s="46">
        <f>'Los Angeles'!F14+Burbank!F14+'Long Beach'!F14+Ontario!F14+'Orange County'!F14+Oakland!F14+Sacramento!F14+'San Diego'!F14+'San Jose'!F14+'San Francisco'!F14</f>
        <v>14492760</v>
      </c>
      <c r="G14" s="46">
        <f>'Los Angeles'!G14+Burbank!G14+'Long Beach'!G14+Ontario!G14+'Orange County'!G14+Oakland!G14+Sacramento!G14+'San Diego'!G14+'San Jose'!G14+'San Francisco'!G14</f>
        <v>14439580</v>
      </c>
      <c r="H14" s="49">
        <f t="shared" si="2"/>
        <v>3.6829326060729972E-3</v>
      </c>
      <c r="I14" s="48"/>
      <c r="J14" s="46">
        <f>'Los Angeles'!J14+Ontario!J14+'Orange County'!J14+Oakland!J14+Sacramento!J14+'San Diego'!J14+'San Jose'!J14+'San Francisco'!J14</f>
        <v>3541433</v>
      </c>
      <c r="K14" s="46">
        <f>'Los Angeles'!K14+Ontario!K14+'Orange County'!K14+Oakland!K14+Sacramento!K14+'San Diego'!K14+'San Jose'!K14+'San Francisco'!K14</f>
        <v>3432914</v>
      </c>
      <c r="L14" s="49">
        <f t="shared" si="3"/>
        <v>3.1611336607908047E-2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6">
        <v>18969181</v>
      </c>
      <c r="C15" s="56">
        <f>'Los Angeles'!C15+Burbank!C15+'Long Beach'!C15+Ontario!C15+'Orange County'!C15+Oakland!C15+Sacramento!C15+'San Diego'!C15+'San Jose'!C15+'San Francisco'!C15</f>
        <v>18728161</v>
      </c>
      <c r="D15" s="54">
        <f t="shared" si="1"/>
        <v>1.2869389578613832E-2</v>
      </c>
      <c r="F15" s="47">
        <f>'Los Angeles'!F15+Burbank!F15+'Long Beach'!F15+Ontario!F15+'Orange County'!F15+Oakland!F15+Sacramento!F15+'San Diego'!F15+'San Jose'!F15+'San Francisco'!F15</f>
        <v>15419141</v>
      </c>
      <c r="G15" s="47">
        <f>'Los Angeles'!G15+Burbank!G15+'Long Beach'!G15+Ontario!G15+'Orange County'!G15+Oakland!G15+Sacramento!G15+'San Diego'!G15+'San Jose'!G15+'San Francisco'!G15</f>
        <v>15311220</v>
      </c>
      <c r="H15" s="55">
        <f t="shared" si="2"/>
        <v>7.0484912371451269E-3</v>
      </c>
      <c r="J15" s="47">
        <f>'Los Angeles'!J15+Ontario!J15+'Orange County'!J15+Oakland!J15+Sacramento!J15+'San Diego'!J15+'San Jose'!J15+'San Francisco'!J15</f>
        <v>3550040</v>
      </c>
      <c r="K15" s="47">
        <f>'Los Angeles'!K15+Ontario!K15+'Orange County'!K15+Oakland!K15+Sacramento!K15+'San Diego'!K15+'San Jose'!K15+'San Francisco'!K15</f>
        <v>3416941</v>
      </c>
      <c r="L15" s="55">
        <f t="shared" si="3"/>
        <v>3.8952677263084157E-2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5">
        <v>17455654</v>
      </c>
      <c r="C16" s="58">
        <f>'Los Angeles'!C16+Burbank!C16+'Long Beach'!C16+Ontario!C16+'Orange County'!C16+Oakland!C16+Sacramento!C16+'San Diego'!C16+'San Jose'!C16+'San Francisco'!C16</f>
        <v>17636410</v>
      </c>
      <c r="D16" s="49">
        <f t="shared" si="1"/>
        <v>-1.0249024603079637E-2</v>
      </c>
      <c r="F16" s="46">
        <f>'Los Angeles'!F16+Burbank!F16+'Long Beach'!F16+Ontario!F16+'Orange County'!F16+Oakland!F16+Sacramento!F16+'San Diego'!F16+'San Jose'!F16+'San Francisco'!F16</f>
        <v>14216508</v>
      </c>
      <c r="G16" s="46">
        <f>'Los Angeles'!G16+Burbank!G16+'Long Beach'!G16+Ontario!G16+'Orange County'!G16+Oakland!G16+Sacramento!G16+'San Diego'!G16+'San Jose'!G16+'San Francisco'!G16</f>
        <v>14491113</v>
      </c>
      <c r="H16" s="49">
        <f t="shared" si="2"/>
        <v>-1.8949890184418505E-2</v>
      </c>
      <c r="J16" s="46">
        <f>'Los Angeles'!J16+Ontario!J16+'Orange County'!J16+Oakland!J16+Sacramento!J16+'San Diego'!J16+'San Jose'!J16+'San Francisco'!J16</f>
        <v>3239146</v>
      </c>
      <c r="K16" s="46">
        <f>'Los Angeles'!K16+Ontario!K16+'Orange County'!K16+Oakland!K16+Sacramento!K16+'San Diego'!K16+'San Jose'!K16+'San Francisco'!K16</f>
        <v>3145297</v>
      </c>
      <c r="L16" s="49">
        <f t="shared" si="3"/>
        <v>2.9837881764424701E-2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6">
        <f>F17+J17</f>
        <v>18785264</v>
      </c>
      <c r="C17" s="56">
        <f>'Los Angeles'!C17+Burbank!C17+'Long Beach'!C17+Ontario!C17+'Orange County'!C17+Oakland!C17+Sacramento!C17+'San Diego'!C17+'San Jose'!C17+'San Francisco'!C17</f>
        <v>17749265</v>
      </c>
      <c r="D17" s="54">
        <f t="shared" si="1"/>
        <v>5.8368557796618648E-2</v>
      </c>
      <c r="F17" s="47">
        <f>'Los Angeles'!F17+Burbank!F17+'Long Beach'!F17+Ontario!F17+'Orange County'!F17+Oakland!F17+Sacramento!F17+'San Diego'!F17+'San Jose'!F17+'San Francisco'!F17</f>
        <v>15134485</v>
      </c>
      <c r="G17" s="47">
        <f>'Los Angeles'!G17+Burbank!G17+'Long Beach'!G17+Ontario!G17+'Orange County'!G17+Oakland!G17+Sacramento!G17+'San Diego'!G17+'San Jose'!G17+'San Francisco'!G17</f>
        <v>14295034</v>
      </c>
      <c r="H17" s="55">
        <f t="shared" si="2"/>
        <v>5.8723260119563303E-2</v>
      </c>
      <c r="J17" s="47">
        <f>'Los Angeles'!J17+Ontario!J17+'Orange County'!J17+Oakland!J17+Sacramento!J17+'San Diego'!J17+'San Jose'!J17+'San Francisco'!J17</f>
        <v>3650779</v>
      </c>
      <c r="K17" s="47">
        <f>'Los Angeles'!K17+Ontario!K17+'Orange County'!K17+Oakland!K17+Sacramento!K17+'San Diego'!K17+'San Jose'!K17+'San Francisco'!K17</f>
        <v>3454231</v>
      </c>
      <c r="L17" s="55">
        <f t="shared" si="3"/>
        <v>5.6900653141031876E-2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48</v>
      </c>
      <c r="B18" s="42">
        <f>SUM(B6:B17)</f>
        <v>219101082</v>
      </c>
      <c r="C18" s="42">
        <f>SUM(C6:C17)</f>
        <v>212426186</v>
      </c>
      <c r="D18" s="49">
        <f t="shared" si="1"/>
        <v>3.1422190106072945E-2</v>
      </c>
      <c r="F18" s="42">
        <f>SUM(F6:F17)</f>
        <v>171520651</v>
      </c>
      <c r="G18" s="42">
        <f>SUM(G6:G17)</f>
        <v>173022949</v>
      </c>
      <c r="H18" s="49">
        <f>F18/G18-1</f>
        <v>-8.6826516868580006E-3</v>
      </c>
      <c r="J18" s="42">
        <f>SUM(J6:J17)</f>
        <v>42902681</v>
      </c>
      <c r="K18" s="42">
        <f>SUM(K6:K17)</f>
        <v>39403237</v>
      </c>
      <c r="L18" s="49">
        <f t="shared" si="3"/>
        <v>8.8811079150679983E-2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46</v>
      </c>
      <c r="H20" s="44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</row>
  </sheetData>
  <mergeCells count="4">
    <mergeCell ref="A1:L1"/>
    <mergeCell ref="F3:H3"/>
    <mergeCell ref="J3:L3"/>
    <mergeCell ref="B3:D3"/>
  </mergeCells>
  <phoneticPr fontId="16" type="noConversion"/>
  <pageMargins left="0.25" right="0.25" top="0.75" bottom="0.75" header="0.3" footer="0.3"/>
  <pageSetup scale="7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  <pageSetUpPr fitToPage="1"/>
  </sheetPr>
  <dimension ref="A1:AX23"/>
  <sheetViews>
    <sheetView zoomScaleNormal="100" zoomScaleSheetLayoutView="100" workbookViewId="0">
      <selection activeCell="K19" sqref="K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3608952</v>
      </c>
      <c r="C6" s="41">
        <f>SUM(G6,K6)</f>
        <v>3355438</v>
      </c>
      <c r="D6" s="49">
        <f>B6/C6-1</f>
        <v>7.5553176664268529E-2</v>
      </c>
      <c r="E6" s="28"/>
      <c r="F6" s="46">
        <v>2467879</v>
      </c>
      <c r="G6" s="46">
        <v>2408119</v>
      </c>
      <c r="H6" s="49">
        <f t="shared" ref="H6:H11" si="0">F6/G6-1</f>
        <v>2.4816049372975435E-2</v>
      </c>
      <c r="I6" s="28"/>
      <c r="J6" s="46">
        <v>1141073</v>
      </c>
      <c r="K6" s="46">
        <v>947319</v>
      </c>
      <c r="L6" s="49">
        <f>J6/K6-1</f>
        <v>0.20452878069583735</v>
      </c>
    </row>
    <row r="7" spans="1:50" ht="25" customHeight="1" x14ac:dyDescent="0.25">
      <c r="A7" s="61" t="s">
        <v>4</v>
      </c>
      <c r="B7" s="56">
        <f t="shared" ref="B7:B14" si="1">SUM(F7,J7)</f>
        <v>3414049</v>
      </c>
      <c r="C7" s="56">
        <f t="shared" ref="C7:C17" si="2">SUM(G7,K7)</f>
        <v>3135476</v>
      </c>
      <c r="D7" s="54">
        <f>B7/C7-1</f>
        <v>8.8845521381761383E-2</v>
      </c>
      <c r="E7" s="28"/>
      <c r="F7" s="47">
        <v>2406607</v>
      </c>
      <c r="G7" s="47">
        <v>2329960</v>
      </c>
      <c r="H7" s="51">
        <f t="shared" si="0"/>
        <v>3.2896272897388723E-2</v>
      </c>
      <c r="I7" s="28"/>
      <c r="J7" s="47">
        <v>1007442</v>
      </c>
      <c r="K7" s="47">
        <v>805516</v>
      </c>
      <c r="L7" s="51">
        <f>J7/K7-1</f>
        <v>0.25067906782733052</v>
      </c>
      <c r="N7" s="2"/>
      <c r="O7" s="2"/>
    </row>
    <row r="8" spans="1:50" ht="25" customHeight="1" x14ac:dyDescent="0.25">
      <c r="A8" s="60" t="s">
        <v>5</v>
      </c>
      <c r="B8" s="41">
        <f t="shared" si="1"/>
        <v>4128144</v>
      </c>
      <c r="C8" s="41">
        <f t="shared" si="2"/>
        <v>3863696</v>
      </c>
      <c r="D8" s="49">
        <f t="shared" ref="D8:D18" si="3">B8/C8-1</f>
        <v>6.8444308247853858E-2</v>
      </c>
      <c r="E8" s="28"/>
      <c r="F8" s="46">
        <v>2892774</v>
      </c>
      <c r="G8" s="46">
        <v>2828584</v>
      </c>
      <c r="H8" s="50">
        <f t="shared" si="0"/>
        <v>2.2693333484174349E-2</v>
      </c>
      <c r="I8" s="28"/>
      <c r="J8" s="46">
        <v>1235370</v>
      </c>
      <c r="K8" s="46">
        <v>1035112</v>
      </c>
      <c r="L8" s="50">
        <f t="shared" ref="L8:L18" si="4">J8/K8-1</f>
        <v>0.19346505498921851</v>
      </c>
      <c r="N8" s="2"/>
      <c r="O8" s="2"/>
    </row>
    <row r="9" spans="1:50" ht="25" customHeight="1" x14ac:dyDescent="0.25">
      <c r="A9" s="61" t="s">
        <v>6</v>
      </c>
      <c r="B9" s="56">
        <f t="shared" si="1"/>
        <v>4131837</v>
      </c>
      <c r="C9" s="56">
        <f t="shared" si="2"/>
        <v>3973262</v>
      </c>
      <c r="D9" s="54">
        <f t="shared" si="3"/>
        <v>3.9910531950825279E-2</v>
      </c>
      <c r="E9" s="28"/>
      <c r="F9" s="47">
        <v>2894330</v>
      </c>
      <c r="G9" s="47">
        <v>2885631</v>
      </c>
      <c r="H9" s="51">
        <f t="shared" si="0"/>
        <v>3.0145919557975631E-3</v>
      </c>
      <c r="I9" s="28"/>
      <c r="J9" s="47">
        <v>1237507</v>
      </c>
      <c r="K9" s="47">
        <v>1087631</v>
      </c>
      <c r="L9" s="51">
        <f t="shared" si="4"/>
        <v>0.13780041208829097</v>
      </c>
      <c r="N9" s="2"/>
    </row>
    <row r="10" spans="1:50" ht="25" customHeight="1" x14ac:dyDescent="0.25">
      <c r="A10" s="60" t="s">
        <v>7</v>
      </c>
      <c r="B10" s="41">
        <f t="shared" si="1"/>
        <v>4498408</v>
      </c>
      <c r="C10" s="41">
        <f t="shared" si="2"/>
        <v>4363174</v>
      </c>
      <c r="D10" s="49">
        <f t="shared" si="3"/>
        <v>3.0994409115932653E-2</v>
      </c>
      <c r="E10" s="28"/>
      <c r="F10" s="46">
        <v>3125864</v>
      </c>
      <c r="G10" s="46">
        <v>3158885</v>
      </c>
      <c r="H10" s="50">
        <f t="shared" si="0"/>
        <v>-1.045337199676466E-2</v>
      </c>
      <c r="I10" s="28"/>
      <c r="J10" s="46">
        <v>1372544</v>
      </c>
      <c r="K10" s="46">
        <v>1204289</v>
      </c>
      <c r="L10" s="50">
        <f t="shared" si="4"/>
        <v>0.13971314194516427</v>
      </c>
    </row>
    <row r="11" spans="1:50" ht="25" customHeight="1" x14ac:dyDescent="0.25">
      <c r="A11" s="61" t="s">
        <v>8</v>
      </c>
      <c r="B11" s="56">
        <f t="shared" si="1"/>
        <v>4647504</v>
      </c>
      <c r="C11" s="56">
        <f t="shared" si="2"/>
        <v>4665618</v>
      </c>
      <c r="D11" s="54">
        <f t="shared" si="3"/>
        <v>-3.8824438691723584E-3</v>
      </c>
      <c r="E11" s="28"/>
      <c r="F11" s="47">
        <v>3122403</v>
      </c>
      <c r="G11" s="47">
        <v>3315599</v>
      </c>
      <c r="H11" s="51">
        <f t="shared" si="0"/>
        <v>-5.8268807536737688E-2</v>
      </c>
      <c r="I11" s="28"/>
      <c r="J11" s="47">
        <v>1525101</v>
      </c>
      <c r="K11" s="47">
        <v>1350019</v>
      </c>
      <c r="L11" s="51">
        <f t="shared" si="4"/>
        <v>0.12968854512417982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 t="shared" si="1"/>
        <v>4980094</v>
      </c>
      <c r="C12" s="41">
        <f t="shared" si="2"/>
        <v>4952664</v>
      </c>
      <c r="D12" s="49">
        <f t="shared" si="3"/>
        <v>5.5384334572261551E-3</v>
      </c>
      <c r="E12" s="28"/>
      <c r="F12" s="46">
        <v>3378733</v>
      </c>
      <c r="G12" s="46">
        <v>3495490</v>
      </c>
      <c r="H12" s="50">
        <f>'San Jose'!F12/G12-1</f>
        <v>-0.70407038784261999</v>
      </c>
      <c r="I12" s="28"/>
      <c r="J12" s="46">
        <v>1601361</v>
      </c>
      <c r="K12" s="46">
        <v>1457174</v>
      </c>
      <c r="L12" s="50">
        <f t="shared" si="4"/>
        <v>9.8949747936759813E-2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 t="shared" si="1"/>
        <v>4851557</v>
      </c>
      <c r="C13" s="56">
        <f t="shared" si="2"/>
        <v>4718823</v>
      </c>
      <c r="D13" s="54">
        <f t="shared" si="3"/>
        <v>2.8128624447240291E-2</v>
      </c>
      <c r="E13" s="28"/>
      <c r="F13" s="47">
        <v>3354366</v>
      </c>
      <c r="G13" s="47">
        <v>3338019</v>
      </c>
      <c r="H13" s="51">
        <f t="shared" ref="H13:H18" si="5">F13/G13-1</f>
        <v>4.8972159834919093E-3</v>
      </c>
      <c r="I13" s="28"/>
      <c r="J13" s="47">
        <v>1497191</v>
      </c>
      <c r="K13" s="47">
        <v>1380804</v>
      </c>
      <c r="L13" s="51">
        <f t="shared" si="4"/>
        <v>8.4289298119066824E-2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f t="shared" si="1"/>
        <v>4402598</v>
      </c>
      <c r="C14" s="41">
        <f t="shared" si="2"/>
        <v>4341416</v>
      </c>
      <c r="D14" s="49">
        <f t="shared" si="3"/>
        <v>1.4092637056665414E-2</v>
      </c>
      <c r="E14" s="28"/>
      <c r="F14" s="46">
        <v>3080732</v>
      </c>
      <c r="G14" s="46">
        <v>3072522</v>
      </c>
      <c r="H14" s="50">
        <f t="shared" si="5"/>
        <v>2.6720719981825347E-3</v>
      </c>
      <c r="I14" s="48"/>
      <c r="J14" s="46">
        <v>1321866</v>
      </c>
      <c r="K14" s="46">
        <v>1268894</v>
      </c>
      <c r="L14" s="50">
        <f t="shared" si="4"/>
        <v>4.1746591913903064E-2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4664348</v>
      </c>
      <c r="C15" s="56">
        <f t="shared" si="2"/>
        <v>4434781</v>
      </c>
      <c r="D15" s="54">
        <f t="shared" si="3"/>
        <v>5.1765126620683111E-2</v>
      </c>
      <c r="F15" s="47">
        <v>3329256</v>
      </c>
      <c r="G15" s="47">
        <f>3209378</f>
        <v>3209378</v>
      </c>
      <c r="H15" s="51">
        <f t="shared" si="5"/>
        <v>3.7352409096092831E-2</v>
      </c>
      <c r="J15" s="47">
        <v>1335092</v>
      </c>
      <c r="K15" s="47">
        <v>1225403</v>
      </c>
      <c r="L15" s="51">
        <f t="shared" si="4"/>
        <v>8.9512593000017127E-2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4220258</v>
      </c>
      <c r="C16" s="58">
        <f t="shared" si="2"/>
        <v>4109115</v>
      </c>
      <c r="D16" s="49">
        <f t="shared" si="3"/>
        <v>2.7047916643851533E-2</v>
      </c>
      <c r="F16" s="46">
        <v>3048773</v>
      </c>
      <c r="G16" s="46">
        <v>3014179</v>
      </c>
      <c r="H16" s="50">
        <f t="shared" si="5"/>
        <v>1.1477088786034262E-2</v>
      </c>
      <c r="J16" s="46">
        <v>1171485</v>
      </c>
      <c r="K16" s="46">
        <v>1094936</v>
      </c>
      <c r="L16" s="50">
        <f t="shared" si="4"/>
        <v>6.9911848729058201E-2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f>F17+J17</f>
        <v>4586031</v>
      </c>
      <c r="C17" s="56">
        <f t="shared" si="2"/>
        <v>4144578</v>
      </c>
      <c r="D17" s="54">
        <f t="shared" si="3"/>
        <v>0.10651337723647614</v>
      </c>
      <c r="F17" s="47">
        <v>3276305</v>
      </c>
      <c r="G17" s="47">
        <v>2940586</v>
      </c>
      <c r="H17" s="51">
        <f t="shared" si="5"/>
        <v>0.11416738024325768</v>
      </c>
      <c r="J17" s="47">
        <v>1309726</v>
      </c>
      <c r="K17" s="47">
        <v>1203992</v>
      </c>
      <c r="L17" s="51">
        <f t="shared" si="4"/>
        <v>8.7819520395484352E-2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52133780</v>
      </c>
      <c r="C18" s="42">
        <f>SUM(C6:C17)</f>
        <v>50058041</v>
      </c>
      <c r="D18" s="49">
        <f t="shared" si="3"/>
        <v>4.1466644689511556E-2</v>
      </c>
      <c r="F18" s="42">
        <f>SUM(F6:F17)</f>
        <v>36378022</v>
      </c>
      <c r="G18" s="42">
        <f>SUM(G6:G17)</f>
        <v>35996952</v>
      </c>
      <c r="H18" s="49">
        <f t="shared" si="5"/>
        <v>1.0586174073849319E-2</v>
      </c>
      <c r="J18" s="42">
        <f>SUM(J6:J17)</f>
        <v>15755758</v>
      </c>
      <c r="K18" s="42">
        <f>SUM(K6:K17)</f>
        <v>14061089</v>
      </c>
      <c r="L18" s="49">
        <f t="shared" si="4"/>
        <v>0.12052188845401668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AX23"/>
  <sheetViews>
    <sheetView zoomScaleNormal="100" zoomScaleSheetLayoutView="93" workbookViewId="0">
      <selection activeCell="C19" sqref="C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852269</v>
      </c>
      <c r="C6" s="41">
        <f>SUM(G6,K6)</f>
        <v>866267</v>
      </c>
      <c r="D6" s="49">
        <f>B6/C6-1</f>
        <v>-1.6158990242038596E-2</v>
      </c>
      <c r="E6" s="28"/>
      <c r="F6" s="46">
        <f>349528+380900+29740+29740</f>
        <v>789908</v>
      </c>
      <c r="G6" s="46">
        <f>350149+375773+40980+40980</f>
        <v>807882</v>
      </c>
      <c r="H6" s="49">
        <f>F6/G6-1</f>
        <v>-2.2248298637672304E-2</v>
      </c>
      <c r="I6" s="28"/>
      <c r="J6" s="46">
        <f>27185+35176</f>
        <v>62361</v>
      </c>
      <c r="K6" s="46">
        <f>26394+31991</f>
        <v>58385</v>
      </c>
      <c r="L6" s="49">
        <f>J6/K6-1</f>
        <v>6.8099683137792244E-2</v>
      </c>
    </row>
    <row r="7" spans="1:50" ht="25" customHeight="1" x14ac:dyDescent="0.25">
      <c r="A7" s="61" t="s">
        <v>4</v>
      </c>
      <c r="B7" s="56">
        <f t="shared" ref="B7:C17" si="0">SUM(F7,J7)</f>
        <v>820358</v>
      </c>
      <c r="C7" s="56">
        <f t="shared" si="0"/>
        <v>821843</v>
      </c>
      <c r="D7" s="54">
        <f>B7/C7-1</f>
        <v>-1.8069144593310105E-3</v>
      </c>
      <c r="E7" s="28"/>
      <c r="F7" s="47">
        <f>358861+352328+27068+27068</f>
        <v>765325</v>
      </c>
      <c r="G7" s="47">
        <f>343606+342856+43599+43599</f>
        <v>773660</v>
      </c>
      <c r="H7" s="51">
        <f>F7/G7-1</f>
        <v>-1.0773466380580632E-2</v>
      </c>
      <c r="I7" s="28"/>
      <c r="J7" s="47">
        <f>25123+29910</f>
        <v>55033</v>
      </c>
      <c r="K7" s="47">
        <f>22658+25525</f>
        <v>48183</v>
      </c>
      <c r="L7" s="51">
        <f>J7/K7-1</f>
        <v>0.14216632422223596</v>
      </c>
      <c r="N7" s="2"/>
      <c r="O7" s="2"/>
    </row>
    <row r="8" spans="1:50" ht="25" customHeight="1" x14ac:dyDescent="0.25">
      <c r="A8" s="60" t="s">
        <v>5</v>
      </c>
      <c r="B8" s="41">
        <f>SUM(F8,J8)</f>
        <v>930522</v>
      </c>
      <c r="C8" s="41">
        <f t="shared" si="0"/>
        <v>964945</v>
      </c>
      <c r="D8" s="49">
        <f t="shared" ref="D8:D18" si="1">B8/C8-1</f>
        <v>-3.5673535797377087E-2</v>
      </c>
      <c r="E8" s="28"/>
      <c r="F8" s="46">
        <f>408513+401260+32345+32345</f>
        <v>874463</v>
      </c>
      <c r="G8" s="46">
        <f>404648+388001+57249+57249</f>
        <v>907147</v>
      </c>
      <c r="H8" s="50">
        <f t="shared" ref="H8:H18" si="2">F8/G8-1</f>
        <v>-3.6029441755305425E-2</v>
      </c>
      <c r="I8" s="28"/>
      <c r="J8" s="46">
        <f>28217+27842</f>
        <v>56059</v>
      </c>
      <c r="K8" s="46">
        <f>28498+29300</f>
        <v>57798</v>
      </c>
      <c r="L8" s="50">
        <f t="shared" ref="L8:L18" si="3">J8/K8-1</f>
        <v>-3.0087546281878264E-2</v>
      </c>
      <c r="N8" s="2"/>
      <c r="O8" s="2"/>
    </row>
    <row r="9" spans="1:50" ht="25" customHeight="1" x14ac:dyDescent="0.25">
      <c r="A9" s="61" t="s">
        <v>6</v>
      </c>
      <c r="B9" s="56">
        <f t="shared" si="0"/>
        <v>966306</v>
      </c>
      <c r="C9" s="56">
        <f t="shared" si="0"/>
        <v>1017615</v>
      </c>
      <c r="D9" s="54">
        <f t="shared" si="1"/>
        <v>-5.0420836957002391E-2</v>
      </c>
      <c r="E9" s="28"/>
      <c r="F9" s="47">
        <f>420592+436751+28214+28214</f>
        <v>913771</v>
      </c>
      <c r="G9" s="47">
        <f>426584+433132+45900+45900</f>
        <v>951516</v>
      </c>
      <c r="H9" s="51">
        <f t="shared" si="2"/>
        <v>-3.9668276728925256E-2</v>
      </c>
      <c r="I9" s="28"/>
      <c r="J9" s="47">
        <f>23834+28701</f>
        <v>52535</v>
      </c>
      <c r="K9" s="47">
        <f>31149+34950</f>
        <v>66099</v>
      </c>
      <c r="L9" s="51">
        <f t="shared" si="3"/>
        <v>-0.20520734050439493</v>
      </c>
      <c r="N9" s="2"/>
    </row>
    <row r="10" spans="1:50" ht="25" customHeight="1" x14ac:dyDescent="0.25">
      <c r="A10" s="60" t="s">
        <v>7</v>
      </c>
      <c r="B10" s="41">
        <f>SUM(F10,J10)</f>
        <v>1029102</v>
      </c>
      <c r="C10" s="41">
        <f t="shared" si="0"/>
        <v>1055108</v>
      </c>
      <c r="D10" s="49">
        <f t="shared" si="1"/>
        <v>-2.4647713788541026E-2</v>
      </c>
      <c r="E10" s="28"/>
      <c r="F10" s="46">
        <f>450658+458436+33797+33797</f>
        <v>976688</v>
      </c>
      <c r="G10" s="46">
        <f>433284+443338+56759+56759</f>
        <v>990140</v>
      </c>
      <c r="H10" s="50">
        <f t="shared" si="2"/>
        <v>-1.3585957541357829E-2</v>
      </c>
      <c r="I10" s="28"/>
      <c r="J10" s="46">
        <f>27016+25398</f>
        <v>52414</v>
      </c>
      <c r="K10" s="46">
        <f>32655+32313</f>
        <v>64968</v>
      </c>
      <c r="L10" s="50">
        <f t="shared" si="3"/>
        <v>-0.19323359192217704</v>
      </c>
    </row>
    <row r="11" spans="1:50" ht="25" customHeight="1" x14ac:dyDescent="0.25">
      <c r="A11" s="61" t="s">
        <v>8</v>
      </c>
      <c r="B11" s="56">
        <f>SUM(F11,J11)</f>
        <v>1093129</v>
      </c>
      <c r="C11" s="56">
        <f t="shared" si="0"/>
        <v>1121691</v>
      </c>
      <c r="D11" s="54">
        <f t="shared" si="1"/>
        <v>-2.5463340616979191E-2</v>
      </c>
      <c r="E11" s="28"/>
      <c r="F11" s="47">
        <f>496978+476284+32167+32167</f>
        <v>1037596</v>
      </c>
      <c r="G11" s="47">
        <f>477139+453734+62998+62998</f>
        <v>1056869</v>
      </c>
      <c r="H11" s="51">
        <f t="shared" si="2"/>
        <v>-1.8235940310483145E-2</v>
      </c>
      <c r="I11" s="28"/>
      <c r="J11" s="47">
        <f>31150+24383</f>
        <v>55533</v>
      </c>
      <c r="K11" s="47">
        <f>35905+28917</f>
        <v>64822</v>
      </c>
      <c r="L11" s="51">
        <f t="shared" si="3"/>
        <v>-0.14330011415877331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SUM(F12,J12)</f>
        <v>1095311</v>
      </c>
      <c r="C12" s="41">
        <f t="shared" si="0"/>
        <v>1146395</v>
      </c>
      <c r="D12" s="49">
        <f t="shared" si="1"/>
        <v>-4.4560557225040265E-2</v>
      </c>
      <c r="E12" s="28"/>
      <c r="F12" s="46">
        <f>475445+489348+34813+34813</f>
        <v>1034419</v>
      </c>
      <c r="G12" s="46">
        <f>463264+476558+67954+67954</f>
        <v>1075730</v>
      </c>
      <c r="H12" s="50">
        <f t="shared" si="2"/>
        <v>-3.840275905664059E-2</v>
      </c>
      <c r="I12" s="28"/>
      <c r="J12" s="46">
        <f>28882+32010</f>
        <v>60892</v>
      </c>
      <c r="K12" s="46">
        <f>33327+37338</f>
        <v>70665</v>
      </c>
      <c r="L12" s="50">
        <f t="shared" si="3"/>
        <v>-0.13830043161395311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SUM(F13,J13)</f>
        <v>1066857</v>
      </c>
      <c r="C13" s="56">
        <f t="shared" si="0"/>
        <v>1089248</v>
      </c>
      <c r="D13" s="54">
        <f t="shared" si="1"/>
        <v>-2.0556383853814753E-2</v>
      </c>
      <c r="E13" s="28"/>
      <c r="F13" s="47">
        <f>481336+475009+30076+30076</f>
        <v>1016497</v>
      </c>
      <c r="G13" s="47">
        <f>452830+458291+58790+58790</f>
        <v>1028701</v>
      </c>
      <c r="H13" s="51">
        <f t="shared" si="2"/>
        <v>-1.1863505527845319E-2</v>
      </c>
      <c r="I13" s="28"/>
      <c r="J13" s="47">
        <f>22272+28088</f>
        <v>50360</v>
      </c>
      <c r="K13" s="47">
        <f>30009+30538</f>
        <v>60547</v>
      </c>
      <c r="L13" s="51">
        <f t="shared" si="3"/>
        <v>-0.16824945909789091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f>SUM(F14,J14)</f>
        <v>979541</v>
      </c>
      <c r="C14" s="41">
        <f t="shared" si="0"/>
        <v>1018967</v>
      </c>
      <c r="D14" s="49">
        <f t="shared" si="1"/>
        <v>-3.8692126437853247E-2</v>
      </c>
      <c r="E14" s="28"/>
      <c r="F14" s="46">
        <f>439748+450402+25587+25587</f>
        <v>941324</v>
      </c>
      <c r="G14" s="46">
        <f>438560+435066+47393+47393</f>
        <v>968412</v>
      </c>
      <c r="H14" s="50">
        <f>F14/G14-1</f>
        <v>-2.7971565821158784E-2</v>
      </c>
      <c r="I14" s="48"/>
      <c r="J14" s="46">
        <f>19724+18493</f>
        <v>38217</v>
      </c>
      <c r="K14" s="46">
        <f>25523+25032</f>
        <v>50555</v>
      </c>
      <c r="L14" s="50">
        <f>J14/K14-1</f>
        <v>-0.24405103352784097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1043719</v>
      </c>
      <c r="C15" s="56">
        <f t="shared" si="0"/>
        <v>1057185</v>
      </c>
      <c r="D15" s="54">
        <f t="shared" si="1"/>
        <v>-1.2737600325392395E-2</v>
      </c>
      <c r="F15" s="47">
        <f>473829+473493+22852+22852</f>
        <v>993026</v>
      </c>
      <c r="G15" s="47">
        <f>457982+463702+42118+42118</f>
        <v>1005920</v>
      </c>
      <c r="H15" s="51">
        <f t="shared" si="2"/>
        <v>-1.2818116748846808E-2</v>
      </c>
      <c r="J15" s="47">
        <f>26726+23967</f>
        <v>50693</v>
      </c>
      <c r="K15" s="47">
        <f>25464+25801</f>
        <v>51265</v>
      </c>
      <c r="L15" s="51">
        <f t="shared" si="3"/>
        <v>-1.1157709938554583E-2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954789</v>
      </c>
      <c r="C16" s="58">
        <f t="shared" si="0"/>
        <v>966458</v>
      </c>
      <c r="D16" s="49">
        <f t="shared" si="1"/>
        <v>-1.2073985625862704E-2</v>
      </c>
      <c r="F16" s="46">
        <f>435181+430975+20455+20455</f>
        <v>907066</v>
      </c>
      <c r="G16" s="46">
        <f>426835+420118+31583+31583</f>
        <v>910119</v>
      </c>
      <c r="H16" s="50">
        <f t="shared" si="2"/>
        <v>-3.3545063887250315E-3</v>
      </c>
      <c r="J16" s="46">
        <f>26158+21565</f>
        <v>47723</v>
      </c>
      <c r="K16" s="46">
        <f>30031+26308</f>
        <v>56339</v>
      </c>
      <c r="L16" s="50">
        <f t="shared" si="3"/>
        <v>-0.15293136193400669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f>F17+J17</f>
        <v>1019367</v>
      </c>
      <c r="C17" s="56">
        <f t="shared" si="0"/>
        <v>971438</v>
      </c>
      <c r="D17" s="54">
        <f t="shared" si="1"/>
        <v>4.9338197599846811E-2</v>
      </c>
      <c r="F17" s="47">
        <f>461255+449566+25871+25871</f>
        <v>962563</v>
      </c>
      <c r="G17" s="47">
        <f>423796+404279+39535+39535</f>
        <v>907145</v>
      </c>
      <c r="H17" s="51">
        <f t="shared" si="2"/>
        <v>6.1090564352997534E-2</v>
      </c>
      <c r="J17" s="47">
        <f>32456+24348</f>
        <v>56804</v>
      </c>
      <c r="K17" s="47">
        <f>37287+27006</f>
        <v>64293</v>
      </c>
      <c r="L17" s="51">
        <f t="shared" si="3"/>
        <v>-0.11648235422207709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11851270</v>
      </c>
      <c r="C18" s="42">
        <f>SUM(C6:C17)</f>
        <v>12097160</v>
      </c>
      <c r="D18" s="49">
        <f t="shared" si="1"/>
        <v>-2.0326258394532282E-2</v>
      </c>
      <c r="F18" s="42">
        <f>SUM(F6:F17)</f>
        <v>11212646</v>
      </c>
      <c r="G18" s="42">
        <f>SUM(G6:G17)</f>
        <v>11383241</v>
      </c>
      <c r="H18" s="49">
        <f t="shared" si="2"/>
        <v>-1.498650516140354E-2</v>
      </c>
      <c r="J18" s="42">
        <f>SUM(J6:J17)</f>
        <v>638624</v>
      </c>
      <c r="K18" s="42">
        <f>SUM(K6:K17)</f>
        <v>713919</v>
      </c>
      <c r="L18" s="49">
        <f t="shared" si="3"/>
        <v>-0.10546714683318414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4"/>
  <sheetViews>
    <sheetView workbookViewId="0">
      <selection activeCell="J16" sqref="J16"/>
    </sheetView>
  </sheetViews>
  <sheetFormatPr baseColWidth="10" defaultColWidth="8.83203125" defaultRowHeight="15" x14ac:dyDescent="0.2"/>
  <cols>
    <col min="1" max="1" width="4.6640625" style="20" customWidth="1"/>
    <col min="2" max="2" width="4.6640625" customWidth="1"/>
    <col min="3" max="3" width="11" customWidth="1"/>
    <col min="4" max="4" width="14.33203125" customWidth="1"/>
    <col min="5" max="5" width="14.6640625" customWidth="1"/>
    <col min="6" max="6" width="11.1640625" customWidth="1"/>
    <col min="7" max="7" width="14.6640625" customWidth="1"/>
    <col min="8" max="8" width="17.5" customWidth="1"/>
    <col min="9" max="9" width="17.83203125" customWidth="1"/>
    <col min="10" max="10" width="14.6640625" customWidth="1"/>
    <col min="11" max="11" width="10.33203125" customWidth="1"/>
    <col min="12" max="45" width="9.1640625" customWidth="1"/>
  </cols>
  <sheetData>
    <row r="1" spans="1:9" x14ac:dyDescent="0.2">
      <c r="B1" s="22"/>
      <c r="C1" s="23" t="s">
        <v>36</v>
      </c>
      <c r="D1" s="24"/>
      <c r="E1" s="24"/>
    </row>
    <row r="3" spans="1:9" ht="19" x14ac:dyDescent="0.25">
      <c r="A3" s="78" t="s">
        <v>30</v>
      </c>
      <c r="B3" s="78"/>
      <c r="C3" s="78"/>
      <c r="D3" s="78"/>
      <c r="E3" s="78"/>
      <c r="F3" s="78"/>
      <c r="G3" s="78"/>
      <c r="H3" s="78"/>
      <c r="I3" s="78"/>
    </row>
    <row r="4" spans="1:9" x14ac:dyDescent="0.2">
      <c r="C4" s="1"/>
      <c r="D4" s="1"/>
      <c r="E4" s="1"/>
      <c r="F4" s="1"/>
    </row>
    <row r="5" spans="1:9" ht="16" x14ac:dyDescent="0.2">
      <c r="A5" s="20">
        <v>1</v>
      </c>
      <c r="C5" s="19" t="s">
        <v>27</v>
      </c>
      <c r="D5" s="3"/>
      <c r="E5" s="1"/>
      <c r="F5" s="17" t="s">
        <v>31</v>
      </c>
      <c r="G5" s="13"/>
    </row>
    <row r="6" spans="1:9" x14ac:dyDescent="0.2">
      <c r="C6" s="5"/>
      <c r="D6" s="6"/>
      <c r="E6" s="1"/>
      <c r="F6" s="14"/>
      <c r="G6" s="15"/>
      <c r="H6" t="s">
        <v>33</v>
      </c>
    </row>
    <row r="7" spans="1:9" x14ac:dyDescent="0.2">
      <c r="C7" s="7"/>
      <c r="D7" s="8"/>
      <c r="E7" s="1"/>
      <c r="F7" s="15"/>
      <c r="G7" s="15"/>
    </row>
    <row r="8" spans="1:9" x14ac:dyDescent="0.2">
      <c r="C8" s="1"/>
      <c r="D8" s="1"/>
      <c r="E8" s="1"/>
    </row>
    <row r="9" spans="1:9" ht="16" x14ac:dyDescent="0.2">
      <c r="A9" s="20">
        <v>2</v>
      </c>
      <c r="C9" s="19" t="s">
        <v>26</v>
      </c>
      <c r="D9" s="3"/>
      <c r="E9" s="1"/>
      <c r="F9" s="1"/>
    </row>
    <row r="10" spans="1:9" ht="16" x14ac:dyDescent="0.2">
      <c r="C10" s="5"/>
      <c r="D10" s="6"/>
      <c r="E10" s="1"/>
      <c r="F10" s="17" t="s">
        <v>32</v>
      </c>
      <c r="G10" s="18"/>
    </row>
    <row r="11" spans="1:9" x14ac:dyDescent="0.2">
      <c r="C11" s="7"/>
      <c r="D11" s="8"/>
      <c r="E11" s="1"/>
      <c r="F11" s="16"/>
      <c r="G11" s="16"/>
      <c r="H11" t="s">
        <v>33</v>
      </c>
    </row>
    <row r="12" spans="1:9" x14ac:dyDescent="0.2">
      <c r="C12" s="1"/>
      <c r="D12" s="1"/>
      <c r="E12" s="1"/>
      <c r="F12" s="16"/>
      <c r="G12" s="16"/>
    </row>
    <row r="13" spans="1:9" ht="16" x14ac:dyDescent="0.2">
      <c r="A13" s="20">
        <v>3</v>
      </c>
      <c r="C13" s="19" t="s">
        <v>21</v>
      </c>
      <c r="D13" s="3"/>
      <c r="E13" s="1"/>
    </row>
    <row r="14" spans="1:9" x14ac:dyDescent="0.2">
      <c r="C14" s="5"/>
      <c r="D14" s="6"/>
      <c r="E14" s="1"/>
    </row>
    <row r="15" spans="1:9" x14ac:dyDescent="0.2">
      <c r="C15" s="7"/>
      <c r="D15" s="8"/>
      <c r="E15" s="1"/>
    </row>
    <row r="16" spans="1:9" x14ac:dyDescent="0.2">
      <c r="C16" s="1"/>
      <c r="D16" s="1"/>
      <c r="E16" s="1"/>
    </row>
    <row r="17" spans="1:6" ht="16" x14ac:dyDescent="0.2">
      <c r="A17" s="20">
        <v>4</v>
      </c>
      <c r="C17" s="19" t="s">
        <v>25</v>
      </c>
      <c r="D17" s="3"/>
      <c r="E17" s="1"/>
    </row>
    <row r="18" spans="1:6" x14ac:dyDescent="0.2">
      <c r="C18" s="5"/>
      <c r="D18" s="9"/>
      <c r="E18" s="1"/>
    </row>
    <row r="19" spans="1:6" x14ac:dyDescent="0.2">
      <c r="C19" s="7"/>
      <c r="D19" s="10"/>
      <c r="E19" s="1"/>
    </row>
    <row r="20" spans="1:6" x14ac:dyDescent="0.2">
      <c r="C20" s="1"/>
      <c r="D20" s="1"/>
      <c r="E20" s="1"/>
      <c r="F20" s="1"/>
    </row>
    <row r="21" spans="1:6" ht="16" x14ac:dyDescent="0.2">
      <c r="A21" s="20">
        <v>5</v>
      </c>
      <c r="C21" s="19" t="s">
        <v>20</v>
      </c>
      <c r="D21" s="3"/>
    </row>
    <row r="22" spans="1:6" x14ac:dyDescent="0.2">
      <c r="C22" s="5"/>
      <c r="D22" s="6"/>
    </row>
    <row r="23" spans="1:6" x14ac:dyDescent="0.2">
      <c r="C23" s="7"/>
      <c r="D23" s="8"/>
    </row>
    <row r="24" spans="1:6" x14ac:dyDescent="0.2">
      <c r="C24" s="1"/>
      <c r="D24" s="1"/>
      <c r="E24" s="1"/>
    </row>
    <row r="25" spans="1:6" ht="16" x14ac:dyDescent="0.2">
      <c r="A25" s="20">
        <v>6</v>
      </c>
      <c r="C25" s="19" t="s">
        <v>22</v>
      </c>
      <c r="D25" s="3"/>
      <c r="E25" s="4"/>
    </row>
    <row r="26" spans="1:6" x14ac:dyDescent="0.2">
      <c r="C26" s="5"/>
      <c r="D26" s="6"/>
      <c r="E26" s="1"/>
    </row>
    <row r="27" spans="1:6" x14ac:dyDescent="0.2">
      <c r="C27" s="7"/>
      <c r="D27" s="8"/>
      <c r="E27" s="1"/>
    </row>
    <row r="28" spans="1:6" x14ac:dyDescent="0.2">
      <c r="C28" s="1"/>
      <c r="D28" s="1"/>
      <c r="E28" s="1"/>
    </row>
    <row r="29" spans="1:6" ht="16" x14ac:dyDescent="0.2">
      <c r="A29" s="20">
        <v>7</v>
      </c>
      <c r="C29" s="17" t="s">
        <v>34</v>
      </c>
      <c r="D29" s="4"/>
      <c r="E29" s="1"/>
    </row>
    <row r="30" spans="1:6" x14ac:dyDescent="0.2">
      <c r="C30" s="5"/>
      <c r="D30" s="11"/>
      <c r="E30" s="1"/>
    </row>
    <row r="31" spans="1:6" x14ac:dyDescent="0.2">
      <c r="C31" s="7"/>
      <c r="D31" s="12"/>
      <c r="E31" s="1"/>
    </row>
    <row r="32" spans="1:6" x14ac:dyDescent="0.2">
      <c r="C32" s="1"/>
      <c r="D32" s="1"/>
      <c r="E32" s="1"/>
      <c r="F32" s="1"/>
    </row>
    <row r="33" spans="1:7" ht="16" x14ac:dyDescent="0.2">
      <c r="A33" s="20">
        <v>8</v>
      </c>
      <c r="C33" s="19" t="s">
        <v>19</v>
      </c>
      <c r="D33" s="3"/>
      <c r="E33" s="1"/>
      <c r="F33" s="1"/>
    </row>
    <row r="34" spans="1:7" x14ac:dyDescent="0.2">
      <c r="C34" s="5"/>
      <c r="D34" s="6"/>
      <c r="E34" s="1"/>
      <c r="F34" s="1"/>
    </row>
    <row r="35" spans="1:7" x14ac:dyDescent="0.2">
      <c r="C35" s="7"/>
      <c r="D35" s="8"/>
      <c r="E35" s="1"/>
      <c r="F35" s="1"/>
    </row>
    <row r="36" spans="1:7" x14ac:dyDescent="0.2">
      <c r="C36" s="1"/>
      <c r="D36" s="1"/>
      <c r="E36" s="1"/>
      <c r="F36" s="1"/>
    </row>
    <row r="37" spans="1:7" ht="16" x14ac:dyDescent="0.2">
      <c r="A37" s="20">
        <v>9</v>
      </c>
      <c r="C37" s="19" t="s">
        <v>17</v>
      </c>
      <c r="D37" s="3"/>
      <c r="F37" s="1"/>
    </row>
    <row r="38" spans="1:7" x14ac:dyDescent="0.2">
      <c r="C38" s="5"/>
      <c r="D38" s="6"/>
      <c r="F38" s="1"/>
    </row>
    <row r="39" spans="1:7" x14ac:dyDescent="0.2">
      <c r="C39" s="7"/>
      <c r="D39" s="8"/>
      <c r="F39" s="1"/>
    </row>
    <row r="40" spans="1:7" x14ac:dyDescent="0.2">
      <c r="C40" s="1"/>
      <c r="D40" s="1"/>
      <c r="E40" s="1"/>
      <c r="F40" s="1"/>
    </row>
    <row r="41" spans="1:7" ht="16" x14ac:dyDescent="0.2">
      <c r="A41" s="20">
        <v>10</v>
      </c>
      <c r="C41" s="19" t="s">
        <v>24</v>
      </c>
      <c r="D41" s="3"/>
      <c r="E41" s="1"/>
      <c r="F41" s="1"/>
    </row>
    <row r="42" spans="1:7" x14ac:dyDescent="0.2">
      <c r="C42" s="5"/>
      <c r="D42" s="6"/>
      <c r="E42" s="1"/>
      <c r="F42" s="1"/>
      <c r="G42" t="s">
        <v>29</v>
      </c>
    </row>
    <row r="43" spans="1:7" x14ac:dyDescent="0.2">
      <c r="C43" s="7"/>
      <c r="D43" s="8"/>
      <c r="E43" s="1"/>
      <c r="F43" s="1"/>
    </row>
    <row r="44" spans="1:7" x14ac:dyDescent="0.2">
      <c r="C44" s="1"/>
      <c r="D44" s="1"/>
      <c r="E44" s="1"/>
      <c r="F44" s="1"/>
    </row>
  </sheetData>
  <mergeCells count="1">
    <mergeCell ref="A3:I3"/>
  </mergeCells>
  <pageMargins left="0.7" right="0.7" top="0.75" bottom="0.75" header="0.3" footer="0.3"/>
  <pageSetup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AX23"/>
  <sheetViews>
    <sheetView zoomScaleNormal="100" zoomScaleSheetLayoutView="90" workbookViewId="0">
      <selection activeCell="K19" sqref="K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75" t="s">
        <v>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5671187</v>
      </c>
      <c r="C6" s="41">
        <f>SUM(G6,K6)</f>
        <v>5455113</v>
      </c>
      <c r="D6" s="64">
        <f>B6/C6-1</f>
        <v>3.9609445303882884E-2</v>
      </c>
      <c r="E6" s="28"/>
      <c r="F6" s="41">
        <v>3784452</v>
      </c>
      <c r="G6" s="46">
        <v>3866868</v>
      </c>
      <c r="H6" s="49">
        <f>F6/G6-1</f>
        <v>-2.1313372993337243E-2</v>
      </c>
      <c r="I6" s="28"/>
      <c r="J6" s="46">
        <v>1886735</v>
      </c>
      <c r="K6" s="46">
        <v>1588245</v>
      </c>
      <c r="L6" s="49">
        <f>J6/K6-1</f>
        <v>0.18793699964426147</v>
      </c>
    </row>
    <row r="7" spans="1:50" ht="25" customHeight="1" x14ac:dyDescent="0.25">
      <c r="A7" s="61" t="s">
        <v>4</v>
      </c>
      <c r="B7" s="56">
        <f t="shared" ref="B7:C17" si="0">SUM(F7,J7)</f>
        <v>5282757</v>
      </c>
      <c r="C7" s="56">
        <f t="shared" si="0"/>
        <v>4904848</v>
      </c>
      <c r="D7" s="54">
        <f>B7/C7-1</f>
        <v>7.7048055311805808E-2</v>
      </c>
      <c r="E7" s="28"/>
      <c r="F7" s="47">
        <v>3643579</v>
      </c>
      <c r="G7" s="47">
        <v>3554263</v>
      </c>
      <c r="H7" s="55">
        <f>F7/G7-1</f>
        <v>2.5129260271397946E-2</v>
      </c>
      <c r="I7" s="28"/>
      <c r="J7" s="47">
        <v>1639178</v>
      </c>
      <c r="K7" s="47">
        <v>1350585</v>
      </c>
      <c r="L7" s="55">
        <f>J7/K7-1</f>
        <v>0.21367999792682424</v>
      </c>
      <c r="N7" s="2"/>
      <c r="O7" s="2"/>
    </row>
    <row r="8" spans="1:50" ht="25" customHeight="1" x14ac:dyDescent="0.25">
      <c r="A8" s="60" t="s">
        <v>5</v>
      </c>
      <c r="B8" s="41">
        <f t="shared" si="0"/>
        <v>6266194</v>
      </c>
      <c r="C8" s="41">
        <f t="shared" si="0"/>
        <v>5964495</v>
      </c>
      <c r="D8" s="49">
        <f t="shared" ref="D8:D17" si="1">B8/C8-1</f>
        <v>5.0582488542617599E-2</v>
      </c>
      <c r="E8" s="28"/>
      <c r="F8" s="46">
        <v>4306223</v>
      </c>
      <c r="G8" s="46">
        <v>4283072</v>
      </c>
      <c r="H8" s="49">
        <f t="shared" ref="H8:H18" si="2">F8/G8-1</f>
        <v>5.4052325060143236E-3</v>
      </c>
      <c r="I8" s="28"/>
      <c r="J8" s="46">
        <v>1959971</v>
      </c>
      <c r="K8" s="46">
        <v>1681423</v>
      </c>
      <c r="L8" s="49">
        <f t="shared" ref="L8:L18" si="3">J8/K8-1</f>
        <v>0.16566206124217397</v>
      </c>
      <c r="N8" s="2"/>
      <c r="O8" s="2"/>
    </row>
    <row r="9" spans="1:50" ht="25" customHeight="1" x14ac:dyDescent="0.25">
      <c r="A9" s="61" t="s">
        <v>6</v>
      </c>
      <c r="B9" s="56">
        <f>SUM(F9,J9)</f>
        <v>6156717</v>
      </c>
      <c r="C9" s="56">
        <f t="shared" si="0"/>
        <v>6020894</v>
      </c>
      <c r="D9" s="54">
        <f t="shared" si="1"/>
        <v>2.2558610066877094E-2</v>
      </c>
      <c r="E9" s="28"/>
      <c r="F9" s="47">
        <v>4248507</v>
      </c>
      <c r="G9" s="47">
        <v>4271575</v>
      </c>
      <c r="H9" s="55">
        <f t="shared" si="2"/>
        <v>-5.4003499880020955E-3</v>
      </c>
      <c r="I9" s="28"/>
      <c r="J9" s="47">
        <v>1908210</v>
      </c>
      <c r="K9" s="47">
        <v>1749319</v>
      </c>
      <c r="L9" s="55">
        <f t="shared" si="3"/>
        <v>9.0830203067593818E-2</v>
      </c>
      <c r="N9" s="2"/>
    </row>
    <row r="10" spans="1:50" ht="25" customHeight="1" x14ac:dyDescent="0.25">
      <c r="A10" s="60" t="s">
        <v>7</v>
      </c>
      <c r="B10" s="41">
        <f t="shared" si="0"/>
        <v>6734607</v>
      </c>
      <c r="C10" s="41">
        <f t="shared" si="0"/>
        <v>6454727</v>
      </c>
      <c r="D10" s="49">
        <f t="shared" si="1"/>
        <v>4.3360470551272012E-2</v>
      </c>
      <c r="E10" s="28"/>
      <c r="F10" s="46">
        <v>4681543</v>
      </c>
      <c r="G10" s="46">
        <v>4609911</v>
      </c>
      <c r="H10" s="49">
        <f t="shared" si="2"/>
        <v>1.5538694781743079E-2</v>
      </c>
      <c r="I10" s="28"/>
      <c r="J10" s="46">
        <v>2053064</v>
      </c>
      <c r="K10" s="46">
        <v>1844816</v>
      </c>
      <c r="L10" s="49">
        <f t="shared" si="3"/>
        <v>0.11288280240414217</v>
      </c>
    </row>
    <row r="11" spans="1:50" ht="25" customHeight="1" x14ac:dyDescent="0.25">
      <c r="A11" s="61" t="s">
        <v>8</v>
      </c>
      <c r="B11" s="56">
        <f t="shared" si="0"/>
        <v>6998112</v>
      </c>
      <c r="C11" s="56">
        <f t="shared" si="0"/>
        <v>6851092</v>
      </c>
      <c r="D11" s="54">
        <f t="shared" si="1"/>
        <v>2.1459352757195571E-2</v>
      </c>
      <c r="E11" s="28"/>
      <c r="F11" s="47">
        <v>4792942</v>
      </c>
      <c r="G11" s="47">
        <v>4802971</v>
      </c>
      <c r="H11" s="55">
        <f t="shared" si="2"/>
        <v>-2.0880825638963652E-3</v>
      </c>
      <c r="I11" s="28"/>
      <c r="J11" s="47">
        <v>2205170</v>
      </c>
      <c r="K11" s="47">
        <v>2048121</v>
      </c>
      <c r="L11" s="55">
        <f t="shared" si="3"/>
        <v>7.6679551647583333E-2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 t="shared" si="0"/>
        <v>7315609</v>
      </c>
      <c r="C12" s="41">
        <f t="shared" si="0"/>
        <v>7308792</v>
      </c>
      <c r="D12" s="49">
        <f t="shared" si="1"/>
        <v>9.3271227310887106E-4</v>
      </c>
      <c r="E12" s="28"/>
      <c r="F12" s="46">
        <v>4952443</v>
      </c>
      <c r="G12" s="46">
        <v>5045175</v>
      </c>
      <c r="H12" s="49">
        <f t="shared" si="2"/>
        <v>-1.8380333685154682E-2</v>
      </c>
      <c r="I12" s="28"/>
      <c r="J12" s="46">
        <v>2363166</v>
      </c>
      <c r="K12" s="46">
        <v>2263617</v>
      </c>
      <c r="L12" s="49">
        <f t="shared" si="3"/>
        <v>4.3977846075550664E-2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 t="shared" si="0"/>
        <v>6983137</v>
      </c>
      <c r="C13" s="56">
        <f t="shared" si="0"/>
        <v>7022112</v>
      </c>
      <c r="D13" s="54">
        <f t="shared" si="1"/>
        <v>-5.5503244607889579E-3</v>
      </c>
      <c r="E13" s="28"/>
      <c r="F13" s="47">
        <v>4766460</v>
      </c>
      <c r="G13" s="47">
        <v>4888762</v>
      </c>
      <c r="H13" s="55">
        <f t="shared" si="2"/>
        <v>-2.5016967485837927E-2</v>
      </c>
      <c r="I13" s="28"/>
      <c r="J13" s="47">
        <v>2216677</v>
      </c>
      <c r="K13" s="47">
        <v>2133350</v>
      </c>
      <c r="L13" s="55">
        <f t="shared" si="3"/>
        <v>3.9059226099796174E-2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v>6208013</v>
      </c>
      <c r="C14" s="41">
        <f t="shared" si="0"/>
        <v>6188399</v>
      </c>
      <c r="D14" s="49">
        <f t="shared" si="1"/>
        <v>3.1694788910670013E-3</v>
      </c>
      <c r="E14" s="28"/>
      <c r="F14" s="46">
        <v>4240017</v>
      </c>
      <c r="G14" s="46">
        <v>4269414</v>
      </c>
      <c r="H14" s="49">
        <f t="shared" si="2"/>
        <v>-6.8854882660711603E-3</v>
      </c>
      <c r="I14" s="48"/>
      <c r="J14" s="46">
        <v>1967996</v>
      </c>
      <c r="K14" s="46">
        <v>1918985</v>
      </c>
      <c r="L14" s="49">
        <f t="shared" si="3"/>
        <v>2.5540064148495079E-2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6461323</v>
      </c>
      <c r="C15" s="56">
        <f t="shared" si="0"/>
        <v>6505689</v>
      </c>
      <c r="D15" s="54">
        <f t="shared" si="1"/>
        <v>-6.8195697642479125E-3</v>
      </c>
      <c r="F15" s="47">
        <v>4529106</v>
      </c>
      <c r="G15" s="47">
        <v>4587892</v>
      </c>
      <c r="H15" s="55">
        <f t="shared" si="2"/>
        <v>-1.2813292030413925E-2</v>
      </c>
      <c r="J15" s="47">
        <v>1932217</v>
      </c>
      <c r="K15" s="47">
        <v>1917797</v>
      </c>
      <c r="L15" s="55">
        <f t="shared" si="3"/>
        <v>7.5190439864072367E-3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5931051</v>
      </c>
      <c r="C16" s="58">
        <f t="shared" si="0"/>
        <v>6107420</v>
      </c>
      <c r="D16" s="49">
        <f t="shared" si="1"/>
        <v>-2.8877824023892273E-2</v>
      </c>
      <c r="F16" s="46">
        <v>4131760</v>
      </c>
      <c r="G16" s="46">
        <v>4323127</v>
      </c>
      <c r="H16" s="49">
        <f t="shared" si="2"/>
        <v>-4.4265875140841349E-2</v>
      </c>
      <c r="J16" s="46">
        <v>1799291</v>
      </c>
      <c r="K16" s="46">
        <v>1784293</v>
      </c>
      <c r="L16" s="49">
        <f t="shared" si="3"/>
        <v>8.4055701614027534E-3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f>F17+J17</f>
        <v>6542761</v>
      </c>
      <c r="C17" s="56">
        <f t="shared" si="0"/>
        <v>6275827</v>
      </c>
      <c r="D17" s="54">
        <f t="shared" si="1"/>
        <v>4.2533677234888767E-2</v>
      </c>
      <c r="F17" s="47">
        <v>4522386</v>
      </c>
      <c r="G17" s="47">
        <v>4323574</v>
      </c>
      <c r="H17" s="55">
        <f t="shared" si="2"/>
        <v>4.5983253669302337E-2</v>
      </c>
      <c r="J17" s="47">
        <v>2020375</v>
      </c>
      <c r="K17" s="47">
        <v>1952253</v>
      </c>
      <c r="L17" s="55">
        <f t="shared" si="3"/>
        <v>3.489404293398457E-2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76551468</v>
      </c>
      <c r="C18" s="42">
        <f>SUM(C6:C17)</f>
        <v>75059408</v>
      </c>
      <c r="D18" s="49">
        <f>B18/C18-1</f>
        <v>1.9878387530048114E-2</v>
      </c>
      <c r="F18" s="42">
        <f>SUM(F6:F17)</f>
        <v>52599418</v>
      </c>
      <c r="G18" s="42">
        <f>SUM(G6:G17)</f>
        <v>52826604</v>
      </c>
      <c r="H18" s="49">
        <f t="shared" si="2"/>
        <v>-4.3005982364492379E-3</v>
      </c>
      <c r="J18" s="42">
        <f>SUM(J6:J17)</f>
        <v>23952050</v>
      </c>
      <c r="K18" s="42">
        <f>SUM(K6:K17)</f>
        <v>22232804</v>
      </c>
      <c r="L18" s="49">
        <f t="shared" si="3"/>
        <v>7.7329247358992603E-2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38</v>
      </c>
      <c r="H20" s="44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AX23"/>
  <sheetViews>
    <sheetView zoomScaleNormal="100" zoomScaleSheetLayoutView="90" workbookViewId="0">
      <selection activeCell="G19" sqref="G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32"/>
    </row>
    <row r="6" spans="1:50" ht="25" customHeight="1" x14ac:dyDescent="0.25">
      <c r="A6" s="60" t="s">
        <v>3</v>
      </c>
      <c r="B6" s="41">
        <v>437121</v>
      </c>
      <c r="C6" s="41">
        <v>405743</v>
      </c>
      <c r="D6" s="49">
        <f>B6/C6-1</f>
        <v>7.7334667511207877E-2</v>
      </c>
      <c r="E6" s="28"/>
      <c r="F6" s="46">
        <v>437121</v>
      </c>
      <c r="G6" s="46">
        <v>405743</v>
      </c>
      <c r="H6" s="49">
        <f>F6/G6-1</f>
        <v>7.7334667511207877E-2</v>
      </c>
      <c r="I6" s="28"/>
      <c r="J6" s="46"/>
      <c r="K6" s="46"/>
      <c r="L6" s="46"/>
    </row>
    <row r="7" spans="1:50" ht="25" customHeight="1" x14ac:dyDescent="0.25">
      <c r="A7" s="61" t="s">
        <v>4</v>
      </c>
      <c r="B7" s="56">
        <v>417214</v>
      </c>
      <c r="C7" s="56">
        <v>399189</v>
      </c>
      <c r="D7" s="54">
        <f>B7/C7-1</f>
        <v>4.5154049836042542E-2</v>
      </c>
      <c r="E7" s="28"/>
      <c r="F7" s="47">
        <v>417214</v>
      </c>
      <c r="G7" s="47">
        <v>399189</v>
      </c>
      <c r="H7" s="51">
        <f>F7/G7-1</f>
        <v>4.5154049836042542E-2</v>
      </c>
      <c r="I7" s="28"/>
      <c r="J7" s="47"/>
      <c r="K7" s="47"/>
      <c r="L7" s="47"/>
      <c r="N7" s="2"/>
      <c r="O7" s="2"/>
    </row>
    <row r="8" spans="1:50" ht="25" customHeight="1" x14ac:dyDescent="0.25">
      <c r="A8" s="60" t="s">
        <v>5</v>
      </c>
      <c r="B8" s="46">
        <v>505214</v>
      </c>
      <c r="C8" s="41">
        <v>494296</v>
      </c>
      <c r="D8" s="49">
        <f t="shared" ref="D8:D18" si="0">B8/C8-1</f>
        <v>2.2087979672099411E-2</v>
      </c>
      <c r="E8" s="28"/>
      <c r="F8" s="46">
        <v>505214</v>
      </c>
      <c r="G8" s="46">
        <v>494296</v>
      </c>
      <c r="H8" s="50">
        <f t="shared" ref="H8:H18" si="1">F8/G8-1</f>
        <v>2.2087979672099411E-2</v>
      </c>
      <c r="I8" s="28"/>
      <c r="J8" s="46"/>
      <c r="K8" s="46"/>
      <c r="L8" s="46"/>
      <c r="N8" s="2"/>
      <c r="O8" s="2"/>
    </row>
    <row r="9" spans="1:50" ht="25" customHeight="1" x14ac:dyDescent="0.25">
      <c r="A9" s="61" t="s">
        <v>6</v>
      </c>
      <c r="B9" s="56">
        <v>508043</v>
      </c>
      <c r="C9" s="56">
        <v>506561</v>
      </c>
      <c r="D9" s="54">
        <f t="shared" si="0"/>
        <v>2.9256101436945237E-3</v>
      </c>
      <c r="E9" s="28"/>
      <c r="F9" s="47">
        <v>508043</v>
      </c>
      <c r="G9" s="47">
        <v>506561</v>
      </c>
      <c r="H9" s="51">
        <f t="shared" si="1"/>
        <v>2.9256101436945237E-3</v>
      </c>
      <c r="I9" s="28"/>
      <c r="J9" s="47"/>
      <c r="K9" s="47"/>
      <c r="L9" s="47"/>
      <c r="N9" s="2"/>
    </row>
    <row r="10" spans="1:50" ht="25" customHeight="1" x14ac:dyDescent="0.25">
      <c r="A10" s="60" t="s">
        <v>7</v>
      </c>
      <c r="B10" s="46">
        <v>536948</v>
      </c>
      <c r="C10" s="41">
        <v>512937</v>
      </c>
      <c r="D10" s="49">
        <f t="shared" si="0"/>
        <v>4.6810816922935983E-2</v>
      </c>
      <c r="E10" s="28"/>
      <c r="F10" s="46">
        <v>536948</v>
      </c>
      <c r="G10" s="46">
        <v>512937</v>
      </c>
      <c r="H10" s="50">
        <f t="shared" si="1"/>
        <v>4.6810816922935983E-2</v>
      </c>
      <c r="I10" s="28"/>
      <c r="J10" s="46"/>
      <c r="K10" s="46"/>
      <c r="L10" s="46"/>
    </row>
    <row r="11" spans="1:50" ht="24" customHeight="1" x14ac:dyDescent="0.25">
      <c r="A11" s="61" t="s">
        <v>8</v>
      </c>
      <c r="B11" s="56">
        <v>610832</v>
      </c>
      <c r="C11" s="56">
        <v>513921</v>
      </c>
      <c r="D11" s="54">
        <f t="shared" si="0"/>
        <v>0.18857178437931132</v>
      </c>
      <c r="E11" s="28"/>
      <c r="F11" s="47">
        <v>610832</v>
      </c>
      <c r="G11" s="47">
        <v>513921</v>
      </c>
      <c r="H11" s="51">
        <f t="shared" si="1"/>
        <v>0.18857178437931132</v>
      </c>
      <c r="I11" s="28"/>
      <c r="J11" s="47"/>
      <c r="K11" s="47"/>
      <c r="L11" s="4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6">
        <v>638833</v>
      </c>
      <c r="C12" s="41">
        <v>533107</v>
      </c>
      <c r="D12" s="49">
        <f t="shared" si="0"/>
        <v>0.19832041222493801</v>
      </c>
      <c r="E12" s="28"/>
      <c r="F12" s="46">
        <v>638833</v>
      </c>
      <c r="G12" s="46">
        <v>533107</v>
      </c>
      <c r="H12" s="50">
        <f t="shared" si="1"/>
        <v>0.19832041222493801</v>
      </c>
      <c r="I12" s="28"/>
      <c r="J12" s="46"/>
      <c r="K12" s="46"/>
      <c r="L12" s="4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582654</v>
      </c>
      <c r="C13" s="56">
        <v>515506</v>
      </c>
      <c r="D13" s="54">
        <f t="shared" si="0"/>
        <v>0.13025648586049443</v>
      </c>
      <c r="E13" s="28"/>
      <c r="F13" s="47">
        <v>582654</v>
      </c>
      <c r="G13" s="47">
        <v>515506</v>
      </c>
      <c r="H13" s="51">
        <f t="shared" si="1"/>
        <v>0.13025648586049443</v>
      </c>
      <c r="I13" s="28"/>
      <c r="J13" s="47"/>
      <c r="K13" s="47"/>
      <c r="L13" s="4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6">
        <v>543678</v>
      </c>
      <c r="C14" s="41">
        <v>510981</v>
      </c>
      <c r="D14" s="49">
        <f t="shared" si="0"/>
        <v>6.398868059673446E-2</v>
      </c>
      <c r="E14" s="28"/>
      <c r="F14" s="46">
        <v>543678</v>
      </c>
      <c r="G14" s="46">
        <v>510981</v>
      </c>
      <c r="H14" s="50">
        <f t="shared" si="1"/>
        <v>6.398868059673446E-2</v>
      </c>
      <c r="I14" s="48"/>
      <c r="J14" s="46"/>
      <c r="K14" s="46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600617</v>
      </c>
      <c r="C15" s="56">
        <v>551795</v>
      </c>
      <c r="D15" s="54">
        <f t="shared" si="0"/>
        <v>8.847851104123805E-2</v>
      </c>
      <c r="F15" s="47">
        <v>600617</v>
      </c>
      <c r="G15" s="47">
        <v>551795</v>
      </c>
      <c r="H15" s="51">
        <f t="shared" si="1"/>
        <v>8.847851104123805E-2</v>
      </c>
      <c r="J15" s="47"/>
      <c r="K15" s="47"/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6">
        <v>566300</v>
      </c>
      <c r="C16" s="58">
        <v>542577</v>
      </c>
      <c r="D16" s="49">
        <f t="shared" si="0"/>
        <v>4.3722826437537998E-2</v>
      </c>
      <c r="F16" s="46">
        <v>566300</v>
      </c>
      <c r="G16" s="46">
        <v>542577</v>
      </c>
      <c r="H16" s="50">
        <f t="shared" si="1"/>
        <v>4.3722826437537998E-2</v>
      </c>
      <c r="J16" s="46"/>
      <c r="K16" s="46"/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v>602827</v>
      </c>
      <c r="C17" s="56">
        <v>548116</v>
      </c>
      <c r="D17" s="54">
        <f t="shared" si="0"/>
        <v>9.9816462208729639E-2</v>
      </c>
      <c r="F17" s="47">
        <v>602827</v>
      </c>
      <c r="G17" s="47">
        <v>548116</v>
      </c>
      <c r="H17" s="51">
        <f t="shared" si="1"/>
        <v>9.9816462208729639E-2</v>
      </c>
      <c r="J17" s="47"/>
      <c r="K17" s="47"/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6550281</v>
      </c>
      <c r="C18" s="42">
        <f>SUM(C6:C17)</f>
        <v>6034729</v>
      </c>
      <c r="D18" s="49">
        <f t="shared" si="0"/>
        <v>8.5430845361904373E-2</v>
      </c>
      <c r="F18" s="42">
        <f>SUM(F6:F17)</f>
        <v>6550281</v>
      </c>
      <c r="G18" s="42">
        <f>SUM(G6:G17)</f>
        <v>6034729</v>
      </c>
      <c r="H18" s="49">
        <f t="shared" si="1"/>
        <v>8.5430845361904373E-2</v>
      </c>
      <c r="J18" s="42"/>
      <c r="K18" s="4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45</v>
      </c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  <c r="H23" s="43"/>
    </row>
  </sheetData>
  <mergeCells count="4">
    <mergeCell ref="A1:L1"/>
    <mergeCell ref="J3:L3"/>
    <mergeCell ref="B3:D3"/>
    <mergeCell ref="F3:H3"/>
  </mergeCells>
  <phoneticPr fontId="16" type="noConversion"/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AX23"/>
  <sheetViews>
    <sheetView zoomScaleNormal="100" zoomScaleSheetLayoutView="90" workbookViewId="0">
      <selection activeCell="C19" sqref="C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32"/>
    </row>
    <row r="6" spans="1:50" ht="25" customHeight="1" x14ac:dyDescent="0.25">
      <c r="A6" s="60" t="s">
        <v>3</v>
      </c>
      <c r="B6" s="41">
        <v>294014</v>
      </c>
      <c r="C6" s="41">
        <v>260199</v>
      </c>
      <c r="D6" s="49">
        <f>B6/C6-1</f>
        <v>0.12995822428218395</v>
      </c>
      <c r="E6" s="28"/>
      <c r="F6" s="46">
        <v>294014</v>
      </c>
      <c r="G6" s="46">
        <v>260199</v>
      </c>
      <c r="H6" s="49">
        <f>F6/G6-1</f>
        <v>0.12995822428218395</v>
      </c>
      <c r="I6" s="28"/>
      <c r="J6" s="46"/>
      <c r="K6" s="46"/>
      <c r="L6" s="46"/>
    </row>
    <row r="7" spans="1:50" ht="25" customHeight="1" x14ac:dyDescent="0.25">
      <c r="A7" s="61" t="s">
        <v>4</v>
      </c>
      <c r="B7" s="56">
        <v>305778</v>
      </c>
      <c r="C7" s="56">
        <v>257466</v>
      </c>
      <c r="D7" s="54">
        <f>B7/C7-1</f>
        <v>0.18764419379646236</v>
      </c>
      <c r="E7" s="28"/>
      <c r="F7" s="47">
        <v>305778</v>
      </c>
      <c r="G7" s="47">
        <v>257466</v>
      </c>
      <c r="H7" s="51">
        <f>F7/G7-1</f>
        <v>0.18764419379646236</v>
      </c>
      <c r="I7" s="28"/>
      <c r="J7" s="47"/>
      <c r="K7" s="47"/>
      <c r="L7" s="47"/>
      <c r="N7" s="2"/>
      <c r="O7" s="2"/>
    </row>
    <row r="8" spans="1:50" ht="25" customHeight="1" x14ac:dyDescent="0.25">
      <c r="A8" s="60" t="s">
        <v>5</v>
      </c>
      <c r="B8" s="41">
        <v>296663</v>
      </c>
      <c r="C8" s="41">
        <v>296663</v>
      </c>
      <c r="D8" s="49">
        <f t="shared" ref="D8:D18" si="0">B8/C8-1</f>
        <v>0</v>
      </c>
      <c r="E8" s="28"/>
      <c r="F8" s="46">
        <v>296663</v>
      </c>
      <c r="G8" s="46">
        <v>296663</v>
      </c>
      <c r="H8" s="50">
        <f t="shared" ref="H8:H18" si="1">F8/G8-1</f>
        <v>0</v>
      </c>
      <c r="I8" s="28"/>
      <c r="J8" s="46"/>
      <c r="K8" s="46"/>
      <c r="L8" s="46"/>
      <c r="N8" s="2"/>
      <c r="O8" s="2"/>
    </row>
    <row r="9" spans="1:50" ht="25" customHeight="1" x14ac:dyDescent="0.25">
      <c r="A9" s="61" t="s">
        <v>6</v>
      </c>
      <c r="B9" s="56">
        <v>349693</v>
      </c>
      <c r="C9" s="56">
        <v>303086</v>
      </c>
      <c r="D9" s="54">
        <f t="shared" si="0"/>
        <v>0.15377483618510923</v>
      </c>
      <c r="E9" s="28"/>
      <c r="F9" s="47">
        <v>349693</v>
      </c>
      <c r="G9" s="47">
        <v>303086</v>
      </c>
      <c r="H9" s="51">
        <f t="shared" si="1"/>
        <v>0.15377483618510923</v>
      </c>
      <c r="I9" s="28"/>
      <c r="J9" s="47"/>
      <c r="K9" s="47"/>
      <c r="L9" s="47"/>
      <c r="N9" s="2"/>
    </row>
    <row r="10" spans="1:50" ht="25" customHeight="1" x14ac:dyDescent="0.25">
      <c r="A10" s="60" t="s">
        <v>7</v>
      </c>
      <c r="B10" s="41">
        <v>380390</v>
      </c>
      <c r="C10" s="41">
        <v>308870</v>
      </c>
      <c r="D10" s="49">
        <f t="shared" si="0"/>
        <v>0.23155372810567543</v>
      </c>
      <c r="E10" s="28"/>
      <c r="F10" s="46">
        <v>380390</v>
      </c>
      <c r="G10" s="46">
        <v>308870</v>
      </c>
      <c r="H10" s="50">
        <f t="shared" si="1"/>
        <v>0.23155372810567543</v>
      </c>
      <c r="I10" s="28"/>
      <c r="J10" s="46"/>
      <c r="K10" s="46"/>
      <c r="L10" s="46"/>
    </row>
    <row r="11" spans="1:50" ht="25" customHeight="1" x14ac:dyDescent="0.25">
      <c r="A11" s="61" t="s">
        <v>8</v>
      </c>
      <c r="B11" s="56">
        <v>378610</v>
      </c>
      <c r="C11" s="56">
        <v>319472</v>
      </c>
      <c r="D11" s="54">
        <f t="shared" si="0"/>
        <v>0.18511168427906055</v>
      </c>
      <c r="E11" s="28"/>
      <c r="F11" s="47">
        <v>378610</v>
      </c>
      <c r="G11" s="47">
        <v>319472</v>
      </c>
      <c r="H11" s="51">
        <f t="shared" si="1"/>
        <v>0.18511168427906055</v>
      </c>
      <c r="I11" s="28"/>
      <c r="J11" s="47"/>
      <c r="K11" s="47"/>
      <c r="L11" s="4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6">
        <v>380986</v>
      </c>
      <c r="C12" s="41">
        <v>341048</v>
      </c>
      <c r="D12" s="49">
        <f t="shared" si="0"/>
        <v>0.11710375079167745</v>
      </c>
      <c r="E12" s="28"/>
      <c r="F12" s="46">
        <v>380986</v>
      </c>
      <c r="G12" s="46">
        <v>341048</v>
      </c>
      <c r="H12" s="50">
        <f t="shared" si="1"/>
        <v>0.11710375079167745</v>
      </c>
      <c r="I12" s="28"/>
      <c r="J12" s="46"/>
      <c r="K12" s="46"/>
      <c r="L12" s="4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345398</v>
      </c>
      <c r="C13" s="56">
        <v>309838</v>
      </c>
      <c r="D13" s="54">
        <f t="shared" si="0"/>
        <v>0.11476965381909254</v>
      </c>
      <c r="E13" s="28"/>
      <c r="F13" s="47">
        <v>345398</v>
      </c>
      <c r="G13" s="47">
        <v>309838</v>
      </c>
      <c r="H13" s="51">
        <f t="shared" si="1"/>
        <v>0.11476965381909254</v>
      </c>
      <c r="I13" s="28"/>
      <c r="J13" s="47"/>
      <c r="K13" s="47"/>
      <c r="L13" s="4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6">
        <v>323402</v>
      </c>
      <c r="C14" s="41">
        <v>308764</v>
      </c>
      <c r="D14" s="49">
        <f t="shared" si="0"/>
        <v>4.7408376624217929E-2</v>
      </c>
      <c r="E14" s="28"/>
      <c r="F14" s="46">
        <v>323402</v>
      </c>
      <c r="G14" s="46">
        <v>308764</v>
      </c>
      <c r="H14" s="50">
        <f t="shared" si="1"/>
        <v>4.7408376624217929E-2</v>
      </c>
      <c r="I14" s="48"/>
      <c r="J14" s="46"/>
      <c r="K14" s="46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340474</v>
      </c>
      <c r="C15" s="56">
        <v>343245</v>
      </c>
      <c r="D15" s="54">
        <f t="shared" si="0"/>
        <v>-8.0729508077320711E-3</v>
      </c>
      <c r="F15" s="47">
        <v>340474</v>
      </c>
      <c r="G15" s="47">
        <v>343245</v>
      </c>
      <c r="H15" s="51">
        <f t="shared" si="1"/>
        <v>-8.0729508077320711E-3</v>
      </c>
      <c r="J15" s="47"/>
      <c r="K15" s="47"/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7">
        <v>335035</v>
      </c>
      <c r="C16" s="58">
        <v>347513</v>
      </c>
      <c r="D16" s="49">
        <f t="shared" si="0"/>
        <v>-3.5906570401682769E-2</v>
      </c>
      <c r="F16" s="46">
        <v>335035</v>
      </c>
      <c r="G16" s="46">
        <v>347513</v>
      </c>
      <c r="H16" s="50">
        <f t="shared" si="1"/>
        <v>-3.5906570401682769E-2</v>
      </c>
      <c r="J16" s="46"/>
      <c r="K16" s="46"/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v>352520</v>
      </c>
      <c r="C17" s="56">
        <v>343067</v>
      </c>
      <c r="D17" s="49">
        <f t="shared" si="0"/>
        <v>2.7554384420535927E-2</v>
      </c>
      <c r="F17" s="47">
        <v>352520</v>
      </c>
      <c r="G17" s="47">
        <v>343067</v>
      </c>
      <c r="H17" s="51">
        <f t="shared" si="1"/>
        <v>2.7554384420535927E-2</v>
      </c>
      <c r="J17" s="47"/>
      <c r="K17" s="47"/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4082963</v>
      </c>
      <c r="C18" s="42">
        <f>SUM(C6:C17)</f>
        <v>3739231</v>
      </c>
      <c r="D18" s="49">
        <f t="shared" si="0"/>
        <v>9.1925853203506325E-2</v>
      </c>
      <c r="F18" s="42">
        <f>SUM(F6:F17)</f>
        <v>4082963</v>
      </c>
      <c r="G18" s="42">
        <f>SUM(G6:G17)</f>
        <v>3739231</v>
      </c>
      <c r="H18" s="49">
        <f t="shared" si="1"/>
        <v>9.1925853203506325E-2</v>
      </c>
      <c r="J18" s="42"/>
      <c r="K18" s="4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37</v>
      </c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  <c r="H23" s="43"/>
    </row>
  </sheetData>
  <mergeCells count="4">
    <mergeCell ref="A1:L1"/>
    <mergeCell ref="J3:L3"/>
    <mergeCell ref="B3:D3"/>
    <mergeCell ref="F3:H3"/>
  </mergeCells>
  <phoneticPr fontId="16" type="noConversion"/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AX24"/>
  <sheetViews>
    <sheetView zoomScaleNormal="100" zoomScaleSheetLayoutView="100" workbookViewId="0">
      <selection activeCell="J19" sqref="J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65">
        <v>839381</v>
      </c>
      <c r="C6" s="65">
        <v>819955</v>
      </c>
      <c r="D6" s="49">
        <f>B6/C6-1</f>
        <v>2.3691544048148883E-2</v>
      </c>
      <c r="E6" s="28"/>
      <c r="F6" s="68">
        <v>809617</v>
      </c>
      <c r="G6" s="46">
        <v>799015</v>
      </c>
      <c r="H6" s="49">
        <f>F6/G6-1</f>
        <v>1.3268837255871357E-2</v>
      </c>
      <c r="I6" s="28"/>
      <c r="J6" s="68">
        <v>29764</v>
      </c>
      <c r="K6" s="46">
        <v>20940</v>
      </c>
      <c r="L6" s="49">
        <f>J6/K6-1</f>
        <v>0.42139446036294181</v>
      </c>
    </row>
    <row r="7" spans="1:50" ht="25" customHeight="1" x14ac:dyDescent="0.25">
      <c r="A7" s="61" t="s">
        <v>4</v>
      </c>
      <c r="B7" s="66">
        <v>804471</v>
      </c>
      <c r="C7" s="66">
        <v>794348</v>
      </c>
      <c r="D7" s="54">
        <f>B7/C7-1</f>
        <v>1.2743784839893912E-2</v>
      </c>
      <c r="E7" s="28"/>
      <c r="F7" s="69"/>
      <c r="G7" s="47">
        <v>774310</v>
      </c>
      <c r="H7" s="51">
        <f>F7/G7-1</f>
        <v>-1</v>
      </c>
      <c r="I7" s="28"/>
      <c r="J7" s="69"/>
      <c r="K7" s="47">
        <v>20038</v>
      </c>
      <c r="L7" s="51">
        <f>J7/K7-1</f>
        <v>-1</v>
      </c>
      <c r="N7" s="2"/>
      <c r="O7" s="2"/>
    </row>
    <row r="8" spans="1:50" ht="25" customHeight="1" x14ac:dyDescent="0.25">
      <c r="A8" s="60" t="s">
        <v>5</v>
      </c>
      <c r="B8" s="65">
        <v>904268</v>
      </c>
      <c r="C8" s="65">
        <v>912916</v>
      </c>
      <c r="D8" s="49">
        <f>B8/C8-1</f>
        <v>-9.4729416507104425E-3</v>
      </c>
      <c r="E8" s="28"/>
      <c r="F8" s="68"/>
      <c r="G8" s="46">
        <v>893816</v>
      </c>
      <c r="H8" s="49">
        <f t="shared" ref="H8:H17" si="0">F8/G8-1</f>
        <v>-1</v>
      </c>
      <c r="I8" s="28"/>
      <c r="J8" s="68"/>
      <c r="K8" s="46">
        <v>19100</v>
      </c>
      <c r="L8" s="50">
        <f t="shared" ref="L8:L18" si="1">J8/K8-1</f>
        <v>-1</v>
      </c>
      <c r="N8" s="2"/>
      <c r="O8" s="2"/>
    </row>
    <row r="9" spans="1:50" ht="25" customHeight="1" x14ac:dyDescent="0.25">
      <c r="A9" s="61" t="s">
        <v>6</v>
      </c>
      <c r="B9" s="66">
        <v>914330</v>
      </c>
      <c r="C9" s="66">
        <v>938369</v>
      </c>
      <c r="D9" s="54">
        <f t="shared" ref="D9:D18" si="2">B9/C9-1</f>
        <v>-2.561785395723859E-2</v>
      </c>
      <c r="E9" s="28"/>
      <c r="F9" s="69"/>
      <c r="G9" s="47">
        <v>916054</v>
      </c>
      <c r="H9" s="51">
        <f t="shared" si="0"/>
        <v>-1</v>
      </c>
      <c r="I9" s="28"/>
      <c r="J9" s="69"/>
      <c r="K9" s="47">
        <v>22315</v>
      </c>
      <c r="L9" s="51">
        <f t="shared" si="1"/>
        <v>-1</v>
      </c>
      <c r="N9" s="2"/>
    </row>
    <row r="10" spans="1:50" ht="25" customHeight="1" x14ac:dyDescent="0.25">
      <c r="A10" s="60" t="s">
        <v>7</v>
      </c>
      <c r="B10" s="65">
        <v>977503</v>
      </c>
      <c r="C10" s="65">
        <v>1002621</v>
      </c>
      <c r="D10" s="49">
        <f t="shared" si="2"/>
        <v>-2.5052337822567106E-2</v>
      </c>
      <c r="E10" s="28"/>
      <c r="F10" s="68"/>
      <c r="G10" s="46">
        <v>979898</v>
      </c>
      <c r="H10" s="49">
        <f t="shared" si="0"/>
        <v>-1</v>
      </c>
      <c r="I10" s="28"/>
      <c r="J10" s="68"/>
      <c r="K10" s="46">
        <v>22723</v>
      </c>
      <c r="L10" s="50">
        <f t="shared" si="1"/>
        <v>-1</v>
      </c>
    </row>
    <row r="11" spans="1:50" ht="25" customHeight="1" x14ac:dyDescent="0.25">
      <c r="A11" s="61" t="s">
        <v>8</v>
      </c>
      <c r="B11" s="66">
        <v>1016321</v>
      </c>
      <c r="C11" s="66">
        <v>997785</v>
      </c>
      <c r="D11" s="54">
        <f t="shared" si="2"/>
        <v>1.8577148383669861E-2</v>
      </c>
      <c r="E11" s="28"/>
      <c r="F11" s="69"/>
      <c r="G11" s="47"/>
      <c r="H11" s="51"/>
      <c r="I11" s="28"/>
      <c r="J11" s="69"/>
      <c r="K11" s="47"/>
      <c r="L11" s="5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65">
        <v>1038224</v>
      </c>
      <c r="C12" s="65">
        <v>1038451</v>
      </c>
      <c r="D12" s="49">
        <f t="shared" si="2"/>
        <v>-2.1859481092512123E-4</v>
      </c>
      <c r="E12" s="28"/>
      <c r="F12" s="71">
        <v>967804</v>
      </c>
      <c r="G12" s="46">
        <v>985397</v>
      </c>
      <c r="H12" s="49">
        <f t="shared" si="0"/>
        <v>-1.785371784164147E-2</v>
      </c>
      <c r="I12" s="28"/>
      <c r="J12" s="68">
        <v>70420</v>
      </c>
      <c r="K12" s="46">
        <v>52827</v>
      </c>
      <c r="L12" s="50">
        <f t="shared" si="1"/>
        <v>0.33303045790978092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66">
        <v>934104</v>
      </c>
      <c r="C13" s="66">
        <v>977326</v>
      </c>
      <c r="D13" s="54">
        <f t="shared" si="2"/>
        <v>-4.4224752027470893E-2</v>
      </c>
      <c r="E13" s="28"/>
      <c r="F13" s="72">
        <v>883583</v>
      </c>
      <c r="G13" s="47">
        <v>933330</v>
      </c>
      <c r="H13" s="51">
        <f t="shared" si="0"/>
        <v>-5.3300547501955342E-2</v>
      </c>
      <c r="I13" s="28"/>
      <c r="J13" s="69">
        <v>50521</v>
      </c>
      <c r="K13" s="47">
        <v>43996</v>
      </c>
      <c r="L13" s="51">
        <f t="shared" si="1"/>
        <v>0.14830893717610683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5">
        <v>853771</v>
      </c>
      <c r="C14" s="65">
        <v>913387</v>
      </c>
      <c r="D14" s="49">
        <f t="shared" si="2"/>
        <v>-6.526915754220286E-2</v>
      </c>
      <c r="E14" s="28"/>
      <c r="F14" s="71">
        <v>803461</v>
      </c>
      <c r="G14" s="46">
        <v>874855</v>
      </c>
      <c r="H14" s="49">
        <f t="shared" si="0"/>
        <v>-8.1606666247549642E-2</v>
      </c>
      <c r="I14" s="48"/>
      <c r="J14" s="68">
        <v>50310</v>
      </c>
      <c r="K14" s="46">
        <v>38532</v>
      </c>
      <c r="L14" s="50">
        <f t="shared" si="1"/>
        <v>0.30566801619433193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6">
        <v>871517</v>
      </c>
      <c r="C15" s="66">
        <v>955856</v>
      </c>
      <c r="D15" s="54">
        <f t="shared" si="2"/>
        <v>-8.8234001774325832E-2</v>
      </c>
      <c r="F15" s="73">
        <v>809483</v>
      </c>
      <c r="G15" s="69">
        <v>893822</v>
      </c>
      <c r="H15" s="51">
        <f t="shared" si="0"/>
        <v>-9.435771328072029E-2</v>
      </c>
      <c r="J15" s="69">
        <v>62034</v>
      </c>
      <c r="K15" s="69">
        <v>62034</v>
      </c>
      <c r="L15" s="51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5">
        <v>799262</v>
      </c>
      <c r="C16" s="67">
        <v>932249</v>
      </c>
      <c r="D16" s="49">
        <f t="shared" si="2"/>
        <v>-0.14265180225454788</v>
      </c>
      <c r="F16" s="74">
        <v>743512</v>
      </c>
      <c r="G16" s="68">
        <v>876499</v>
      </c>
      <c r="H16" s="49">
        <f t="shared" si="0"/>
        <v>-0.15172521588729704</v>
      </c>
      <c r="J16" s="68">
        <v>55750</v>
      </c>
      <c r="K16" s="68">
        <v>55750</v>
      </c>
      <c r="L16" s="50">
        <f>J16/K16-1</f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6">
        <f>F17+J17</f>
        <v>867787</v>
      </c>
      <c r="C17" s="66">
        <v>955812</v>
      </c>
      <c r="D17" s="54">
        <f t="shared" si="2"/>
        <v>-9.209447046071817E-2</v>
      </c>
      <c r="F17" s="47">
        <f>396402+389076</f>
        <v>785478</v>
      </c>
      <c r="G17" s="47">
        <f>456699+438067</f>
        <v>894766</v>
      </c>
      <c r="H17" s="51">
        <f t="shared" si="0"/>
        <v>-0.12214143139100053</v>
      </c>
      <c r="J17" s="69">
        <f>51071+31238</f>
        <v>82309</v>
      </c>
      <c r="K17" s="69">
        <f>34058+26988</f>
        <v>61046</v>
      </c>
      <c r="L17" s="51">
        <f>J17/K17-1</f>
        <v>0.34831110965501422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65">
        <f>SUM(B6:B17)</f>
        <v>10820939</v>
      </c>
      <c r="C18" s="42">
        <f>SUM(C6:C17)</f>
        <v>11239075</v>
      </c>
      <c r="D18" s="49">
        <f t="shared" si="2"/>
        <v>-3.7203773442209487E-2</v>
      </c>
      <c r="F18" s="42">
        <f>SUM(F6:F17)</f>
        <v>5802938</v>
      </c>
      <c r="G18" s="42">
        <f>SUM(G6:G17)</f>
        <v>9821762</v>
      </c>
      <c r="H18" s="49">
        <f t="shared" ref="H18" si="3">F18/G18-1</f>
        <v>-0.40917546159232931</v>
      </c>
      <c r="J18" s="42">
        <f>SUM(J6:J17)</f>
        <v>401108</v>
      </c>
      <c r="K18" s="42">
        <f>SUM(K6:K17)</f>
        <v>419301</v>
      </c>
      <c r="L18" s="49">
        <f t="shared" si="1"/>
        <v>-4.3388878156741861E-2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A23" t="s">
        <v>53</v>
      </c>
    </row>
    <row r="24" spans="1:50" x14ac:dyDescent="0.25">
      <c r="D24" s="43"/>
      <c r="H24" s="43"/>
      <c r="L24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A1:AX23"/>
  <sheetViews>
    <sheetView zoomScaleNormal="100" zoomScaleSheetLayoutView="100" workbookViewId="0">
      <selection activeCell="K19" sqref="K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7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v>469589</v>
      </c>
      <c r="C6" s="41">
        <v>428868</v>
      </c>
      <c r="D6" s="49">
        <f>B6/C6-1</f>
        <v>9.4949961293451679E-2</v>
      </c>
      <c r="E6" s="28"/>
      <c r="F6" s="46">
        <f>B6-J6</f>
        <v>433030</v>
      </c>
      <c r="G6" s="46">
        <f>C6-K6</f>
        <v>407664</v>
      </c>
      <c r="H6" s="49">
        <f>F6/G6-1</f>
        <v>6.2222810942344609E-2</v>
      </c>
      <c r="I6" s="28"/>
      <c r="J6" s="46">
        <f>18348+18211</f>
        <v>36559</v>
      </c>
      <c r="K6" s="46">
        <f>11457+9747</f>
        <v>21204</v>
      </c>
      <c r="L6" s="49">
        <f>J6/K6-1</f>
        <v>0.72415581965666864</v>
      </c>
    </row>
    <row r="7" spans="1:50" ht="25" customHeight="1" x14ac:dyDescent="0.25">
      <c r="A7" s="61" t="s">
        <v>4</v>
      </c>
      <c r="B7" s="56">
        <v>449893</v>
      </c>
      <c r="C7" s="56">
        <v>412924</v>
      </c>
      <c r="D7" s="54">
        <f>B7/C7-1</f>
        <v>8.9529792407319508E-2</v>
      </c>
      <c r="E7" s="28"/>
      <c r="F7" s="47">
        <f t="shared" ref="F7:G17" si="0">B7-J7</f>
        <v>417938</v>
      </c>
      <c r="G7" s="47">
        <f t="shared" si="0"/>
        <v>404775</v>
      </c>
      <c r="H7" s="51">
        <f>F7/G7-1</f>
        <v>3.2519300846149068E-2</v>
      </c>
      <c r="I7" s="28"/>
      <c r="J7" s="47">
        <f>16498+15457</f>
        <v>31955</v>
      </c>
      <c r="K7" s="47">
        <f>8149+J79844</f>
        <v>8149</v>
      </c>
      <c r="L7" s="51">
        <f>J7/K7-1</f>
        <v>2.9213400417229107</v>
      </c>
      <c r="N7" s="2"/>
      <c r="O7" s="2"/>
    </row>
    <row r="8" spans="1:50" ht="25" customHeight="1" x14ac:dyDescent="0.25">
      <c r="A8" s="60" t="s">
        <v>5</v>
      </c>
      <c r="B8" s="41">
        <v>557000</v>
      </c>
      <c r="C8" s="41">
        <v>501250</v>
      </c>
      <c r="D8" s="49">
        <f t="shared" ref="D8:D18" si="1">B8/C8-1</f>
        <v>0.111221945137157</v>
      </c>
      <c r="E8" s="28"/>
      <c r="F8" s="46">
        <f t="shared" ref="F8:F13" si="2">B8-J8</f>
        <v>521925</v>
      </c>
      <c r="G8" s="46">
        <f t="shared" si="0"/>
        <v>480812</v>
      </c>
      <c r="H8" s="50">
        <f t="shared" ref="H8:H18" si="3">F8/G8-1</f>
        <v>8.5507433258737331E-2</v>
      </c>
      <c r="I8" s="28"/>
      <c r="J8" s="46">
        <f>18815+16236+24</f>
        <v>35075</v>
      </c>
      <c r="K8" s="46">
        <f>10061+10377</f>
        <v>20438</v>
      </c>
      <c r="L8" s="50">
        <f t="shared" ref="L8:L18" si="4">J8/K8-1</f>
        <v>0.71616596535864563</v>
      </c>
      <c r="N8" s="2"/>
      <c r="O8" s="2"/>
    </row>
    <row r="9" spans="1:50" ht="25" customHeight="1" x14ac:dyDescent="0.25">
      <c r="A9" s="61" t="s">
        <v>6</v>
      </c>
      <c r="B9" s="56">
        <v>573467</v>
      </c>
      <c r="C9" s="56">
        <v>530733</v>
      </c>
      <c r="D9" s="54">
        <f t="shared" si="1"/>
        <v>8.0518829618659415E-2</v>
      </c>
      <c r="E9" s="28"/>
      <c r="F9" s="47">
        <f t="shared" si="2"/>
        <v>543237</v>
      </c>
      <c r="G9" s="47">
        <f t="shared" si="0"/>
        <v>500196</v>
      </c>
      <c r="H9" s="51">
        <f t="shared" si="3"/>
        <v>8.6048269078521145E-2</v>
      </c>
      <c r="I9" s="28"/>
      <c r="J9" s="47">
        <f>17822+12408</f>
        <v>30230</v>
      </c>
      <c r="K9" s="47">
        <f>18210+12327</f>
        <v>30537</v>
      </c>
      <c r="L9" s="51">
        <f t="shared" si="4"/>
        <v>-1.0053377869469804E-2</v>
      </c>
      <c r="N9" s="2"/>
    </row>
    <row r="10" spans="1:50" ht="25" customHeight="1" x14ac:dyDescent="0.25">
      <c r="A10" s="60" t="s">
        <v>7</v>
      </c>
      <c r="B10" s="41">
        <v>618661</v>
      </c>
      <c r="C10" s="41">
        <v>556933</v>
      </c>
      <c r="D10" s="49">
        <f t="shared" si="1"/>
        <v>0.11083559422767197</v>
      </c>
      <c r="E10" s="28"/>
      <c r="F10" s="46">
        <f t="shared" si="2"/>
        <v>587357</v>
      </c>
      <c r="G10" s="46">
        <f t="shared" si="0"/>
        <v>526103</v>
      </c>
      <c r="H10" s="50">
        <f t="shared" si="3"/>
        <v>0.11642967251659853</v>
      </c>
      <c r="I10" s="28"/>
      <c r="J10" s="46">
        <f>17769+13535</f>
        <v>31304</v>
      </c>
      <c r="K10" s="46">
        <f>17956+12874</f>
        <v>30830</v>
      </c>
      <c r="L10" s="50">
        <f t="shared" si="4"/>
        <v>1.537463509568604E-2</v>
      </c>
    </row>
    <row r="11" spans="1:50" ht="25" customHeight="1" x14ac:dyDescent="0.25">
      <c r="A11" s="61" t="s">
        <v>8</v>
      </c>
      <c r="B11" s="56">
        <v>652729</v>
      </c>
      <c r="C11" s="56">
        <v>559447</v>
      </c>
      <c r="D11" s="54">
        <f t="shared" si="1"/>
        <v>0.16673965540971714</v>
      </c>
      <c r="E11" s="28"/>
      <c r="F11" s="47">
        <f t="shared" si="2"/>
        <v>621502</v>
      </c>
      <c r="G11" s="47">
        <f t="shared" si="0"/>
        <v>528424</v>
      </c>
      <c r="H11" s="51">
        <f t="shared" si="3"/>
        <v>0.17614264302908267</v>
      </c>
      <c r="I11" s="28"/>
      <c r="J11" s="47">
        <f>18666+12561</f>
        <v>31227</v>
      </c>
      <c r="K11" s="47">
        <f>18209+12814</f>
        <v>31023</v>
      </c>
      <c r="L11" s="51">
        <f t="shared" si="4"/>
        <v>6.5757663668890576E-3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v>666322</v>
      </c>
      <c r="C12" s="41">
        <v>582575</v>
      </c>
      <c r="D12" s="49">
        <f t="shared" si="1"/>
        <v>0.14375316482856282</v>
      </c>
      <c r="E12" s="28"/>
      <c r="F12" s="46">
        <f t="shared" si="2"/>
        <v>635550</v>
      </c>
      <c r="G12" s="46">
        <f t="shared" si="0"/>
        <v>546425</v>
      </c>
      <c r="H12" s="50">
        <f t="shared" si="3"/>
        <v>0.16310564121334137</v>
      </c>
      <c r="I12" s="28"/>
      <c r="J12" s="46">
        <f>17260+13512</f>
        <v>30772</v>
      </c>
      <c r="K12" s="46">
        <f>17841+4056+14253</f>
        <v>36150</v>
      </c>
      <c r="L12" s="50">
        <f t="shared" si="4"/>
        <v>-0.14876901798063624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643472</v>
      </c>
      <c r="C13" s="56">
        <v>567508</v>
      </c>
      <c r="D13" s="54">
        <f t="shared" si="1"/>
        <v>0.13385538177435374</v>
      </c>
      <c r="E13" s="28"/>
      <c r="F13" s="47">
        <f t="shared" si="2"/>
        <v>617052</v>
      </c>
      <c r="G13" s="47">
        <f t="shared" si="0"/>
        <v>537219</v>
      </c>
      <c r="H13" s="51">
        <f t="shared" si="3"/>
        <v>0.14860420052157508</v>
      </c>
      <c r="I13" s="28"/>
      <c r="J13" s="47">
        <f>16520+9900</f>
        <v>26420</v>
      </c>
      <c r="K13" s="47">
        <f>12756+17533</f>
        <v>30289</v>
      </c>
      <c r="L13" s="51">
        <f t="shared" si="4"/>
        <v>-0.12773614183366899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v>606015</v>
      </c>
      <c r="C14" s="41">
        <v>556213</v>
      </c>
      <c r="D14" s="49">
        <f t="shared" si="1"/>
        <v>8.9537641155456704E-2</v>
      </c>
      <c r="E14" s="28"/>
      <c r="F14" s="46">
        <v>579197</v>
      </c>
      <c r="G14" s="46">
        <f t="shared" si="0"/>
        <v>527304</v>
      </c>
      <c r="H14" s="50">
        <f t="shared" si="3"/>
        <v>9.8411921775674038E-2</v>
      </c>
      <c r="I14" s="48"/>
      <c r="J14" s="46">
        <f>14300+12518</f>
        <v>26818</v>
      </c>
      <c r="K14" s="46">
        <f>16369+12540</f>
        <v>28909</v>
      </c>
      <c r="L14" s="50">
        <f t="shared" si="4"/>
        <v>-7.233041613338409E-2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642853</v>
      </c>
      <c r="C15" s="56">
        <v>606497</v>
      </c>
      <c r="D15" s="54">
        <f t="shared" si="1"/>
        <v>5.9944237152038671E-2</v>
      </c>
      <c r="F15" s="47">
        <v>613813</v>
      </c>
      <c r="G15" s="47">
        <f t="shared" si="0"/>
        <v>573449</v>
      </c>
      <c r="H15" s="51">
        <f>J15/G15-1</f>
        <v>-0.94935905372578899</v>
      </c>
      <c r="J15" s="47">
        <v>29040</v>
      </c>
      <c r="K15" s="47">
        <f>16853+13937+2258</f>
        <v>33048</v>
      </c>
      <c r="L15" s="51">
        <f t="shared" si="4"/>
        <v>-0.12127814088598399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600909</v>
      </c>
      <c r="C16" s="58">
        <v>575877</v>
      </c>
      <c r="D16" s="49">
        <f t="shared" si="1"/>
        <v>4.3467615480389021E-2</v>
      </c>
      <c r="F16" s="46">
        <v>572328</v>
      </c>
      <c r="G16" s="46">
        <f t="shared" si="0"/>
        <v>541492</v>
      </c>
      <c r="H16" s="50">
        <f>J16/G16-1</f>
        <v>-0.94721805677646209</v>
      </c>
      <c r="J16" s="46">
        <v>28581</v>
      </c>
      <c r="K16" s="46">
        <f>16950+14465+2970</f>
        <v>34385</v>
      </c>
      <c r="L16" s="50">
        <f t="shared" si="4"/>
        <v>-0.1687945324996365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v>603886</v>
      </c>
      <c r="C17" s="56">
        <v>551161</v>
      </c>
      <c r="D17" s="54">
        <f t="shared" si="1"/>
        <v>9.5661703204689807E-2</v>
      </c>
      <c r="F17" s="47">
        <f>603886-33784</f>
        <v>570102</v>
      </c>
      <c r="G17" s="47">
        <f t="shared" si="0"/>
        <v>514150</v>
      </c>
      <c r="H17" s="51">
        <f t="shared" si="3"/>
        <v>0.10882427307206077</v>
      </c>
      <c r="J17" s="47">
        <f>18168+15616</f>
        <v>33784</v>
      </c>
      <c r="K17" s="47">
        <f>16535+17350+3126</f>
        <v>37011</v>
      </c>
      <c r="L17" s="51">
        <f t="shared" si="4"/>
        <v>-8.7190294777228394E-2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7084796</v>
      </c>
      <c r="C18" s="42">
        <f>SUM(C6:C17)</f>
        <v>6429986</v>
      </c>
      <c r="D18" s="49">
        <f t="shared" si="1"/>
        <v>0.10183692468381733</v>
      </c>
      <c r="F18" s="42">
        <f>SUM(F6:F17)</f>
        <v>6713031</v>
      </c>
      <c r="G18" s="42">
        <f>SUM(G6:G17)</f>
        <v>6088013</v>
      </c>
      <c r="H18" s="49">
        <f t="shared" si="3"/>
        <v>0.10266370981796524</v>
      </c>
      <c r="J18" s="42">
        <f>SUM(J6:J17)</f>
        <v>371765</v>
      </c>
      <c r="K18" s="42">
        <f>SUM(K6:K17)</f>
        <v>341973</v>
      </c>
      <c r="L18" s="49">
        <f t="shared" si="4"/>
        <v>8.711798884707278E-2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G19" s="7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51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  <pageSetUpPr fitToPage="1"/>
  </sheetPr>
  <dimension ref="A1:AX23"/>
  <sheetViews>
    <sheetView zoomScaleNormal="100" zoomScaleSheetLayoutView="90" workbookViewId="0">
      <selection activeCell="K19" sqref="K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v>884884</v>
      </c>
      <c r="C6" s="41">
        <v>881049</v>
      </c>
      <c r="D6" s="62">
        <f>B6/C6-1</f>
        <v>4.3527658507074296E-3</v>
      </c>
      <c r="E6" s="28"/>
      <c r="F6" s="46">
        <f>B6-J6</f>
        <v>858826</v>
      </c>
      <c r="G6" s="46">
        <f>C6-K6</f>
        <v>852111</v>
      </c>
      <c r="H6" s="63">
        <f>F6/G6-1</f>
        <v>7.8804287234879311E-3</v>
      </c>
      <c r="I6" s="28"/>
      <c r="J6" s="46">
        <v>26058</v>
      </c>
      <c r="K6" s="46">
        <v>28938</v>
      </c>
      <c r="L6" s="50">
        <f>J6/K6-1</f>
        <v>-9.9523118391042886E-2</v>
      </c>
    </row>
    <row r="7" spans="1:50" ht="25" customHeight="1" x14ac:dyDescent="0.25">
      <c r="A7" s="61" t="s">
        <v>4</v>
      </c>
      <c r="B7" s="56">
        <v>856665</v>
      </c>
      <c r="C7" s="56">
        <v>841593</v>
      </c>
      <c r="D7" s="54">
        <f>B7/C7-1</f>
        <v>1.7908894204205605E-2</v>
      </c>
      <c r="E7" s="28"/>
      <c r="F7" s="47">
        <f t="shared" ref="F7:G17" si="0">B7-J7</f>
        <v>828835</v>
      </c>
      <c r="G7" s="47">
        <f t="shared" si="0"/>
        <v>813220</v>
      </c>
      <c r="H7" s="51">
        <f>F7/G7-1</f>
        <v>1.9201446103145559E-2</v>
      </c>
      <c r="I7" s="28"/>
      <c r="J7" s="47">
        <v>27830</v>
      </c>
      <c r="K7" s="47">
        <v>28373</v>
      </c>
      <c r="L7" s="51">
        <f>J7/K7-1</f>
        <v>-1.9137912804426782E-2</v>
      </c>
      <c r="N7" s="2"/>
      <c r="O7" s="2"/>
    </row>
    <row r="8" spans="1:50" ht="25" customHeight="1" x14ac:dyDescent="0.25">
      <c r="A8" s="60" t="s">
        <v>5</v>
      </c>
      <c r="B8" s="41">
        <v>964073</v>
      </c>
      <c r="C8" s="41">
        <v>994554</v>
      </c>
      <c r="D8" s="49">
        <f t="shared" ref="D8:D18" si="1">B8/C8-1</f>
        <v>-3.0647908509744082E-2</v>
      </c>
      <c r="E8" s="28"/>
      <c r="F8" s="46">
        <f>B8-J8</f>
        <v>932946</v>
      </c>
      <c r="G8" s="46">
        <f t="shared" si="0"/>
        <v>961563</v>
      </c>
      <c r="H8" s="50">
        <f t="shared" ref="H8:H18" si="2">F8/G8-1</f>
        <v>-2.9760920501308852E-2</v>
      </c>
      <c r="I8" s="28"/>
      <c r="J8" s="46">
        <v>31127</v>
      </c>
      <c r="K8" s="46">
        <v>32991</v>
      </c>
      <c r="L8" s="50">
        <f t="shared" ref="L8:L18" si="3">J8/K8-1</f>
        <v>-5.6500257646024621E-2</v>
      </c>
      <c r="N8" s="2"/>
      <c r="O8" s="2"/>
    </row>
    <row r="9" spans="1:50" ht="25" customHeight="1" x14ac:dyDescent="0.25">
      <c r="A9" s="61" t="s">
        <v>6</v>
      </c>
      <c r="B9" s="56">
        <v>916552</v>
      </c>
      <c r="C9" s="56">
        <v>992569</v>
      </c>
      <c r="D9" s="54">
        <f t="shared" si="1"/>
        <v>-7.6586111393767031E-2</v>
      </c>
      <c r="E9" s="28"/>
      <c r="F9" s="47">
        <f t="shared" si="0"/>
        <v>886979</v>
      </c>
      <c r="G9" s="47">
        <f t="shared" si="0"/>
        <v>959138</v>
      </c>
      <c r="H9" s="51">
        <f t="shared" si="2"/>
        <v>-7.5233178124524347E-2</v>
      </c>
      <c r="I9" s="28"/>
      <c r="J9" s="47">
        <v>29573</v>
      </c>
      <c r="K9" s="47">
        <v>33431</v>
      </c>
      <c r="L9" s="51">
        <f>J9/K9-1</f>
        <v>-0.11540187251353529</v>
      </c>
      <c r="N9" s="2"/>
    </row>
    <row r="10" spans="1:50" ht="25" customHeight="1" x14ac:dyDescent="0.25">
      <c r="A10" s="60" t="s">
        <v>7</v>
      </c>
      <c r="B10" s="41">
        <v>950740</v>
      </c>
      <c r="C10" s="41">
        <v>1041342</v>
      </c>
      <c r="D10" s="49">
        <f t="shared" si="1"/>
        <v>-8.7005037730159773E-2</v>
      </c>
      <c r="E10" s="28"/>
      <c r="F10" s="46">
        <f t="shared" ref="F10:F17" si="4">B10-J10</f>
        <v>920356</v>
      </c>
      <c r="G10" s="46">
        <f t="shared" si="0"/>
        <v>1008642</v>
      </c>
      <c r="H10" s="50">
        <f t="shared" si="2"/>
        <v>-8.7529569460720436E-2</v>
      </c>
      <c r="I10" s="28"/>
      <c r="J10" s="46">
        <v>30384</v>
      </c>
      <c r="K10" s="46">
        <v>32700</v>
      </c>
      <c r="L10" s="50">
        <f t="shared" si="3"/>
        <v>-7.082568807339451E-2</v>
      </c>
    </row>
    <row r="11" spans="1:50" ht="25" customHeight="1" x14ac:dyDescent="0.25">
      <c r="A11" s="61" t="s">
        <v>8</v>
      </c>
      <c r="B11" s="56">
        <v>963531</v>
      </c>
      <c r="C11" s="56">
        <v>1059614</v>
      </c>
      <c r="D11" s="54">
        <f t="shared" si="1"/>
        <v>-9.0677359868782448E-2</v>
      </c>
      <c r="E11" s="28"/>
      <c r="F11" s="47">
        <f t="shared" si="4"/>
        <v>931858</v>
      </c>
      <c r="G11" s="47">
        <f t="shared" si="0"/>
        <v>1026485</v>
      </c>
      <c r="H11" s="51">
        <f t="shared" si="2"/>
        <v>-9.2185467883115657E-2</v>
      </c>
      <c r="I11" s="28"/>
      <c r="J11" s="47">
        <v>31673</v>
      </c>
      <c r="K11" s="47">
        <v>33129</v>
      </c>
      <c r="L11" s="51">
        <f t="shared" si="3"/>
        <v>-4.3949409882580226E-2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v>970828</v>
      </c>
      <c r="C12" s="41">
        <v>1075535</v>
      </c>
      <c r="D12" s="49">
        <f t="shared" si="1"/>
        <v>-9.7353410163314114E-2</v>
      </c>
      <c r="E12" s="28"/>
      <c r="F12" s="46">
        <f t="shared" si="4"/>
        <v>937206</v>
      </c>
      <c r="G12" s="46">
        <f t="shared" si="0"/>
        <v>1040631</v>
      </c>
      <c r="H12" s="50">
        <f t="shared" si="2"/>
        <v>-9.9386814346295704E-2</v>
      </c>
      <c r="I12" s="28"/>
      <c r="J12" s="46">
        <v>33622</v>
      </c>
      <c r="K12" s="46">
        <v>34904</v>
      </c>
      <c r="L12" s="50">
        <f t="shared" si="3"/>
        <v>-3.6729314691725912E-2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947733</v>
      </c>
      <c r="C13" s="56">
        <v>1038889</v>
      </c>
      <c r="D13" s="54">
        <f t="shared" si="1"/>
        <v>-8.7743733931151424E-2</v>
      </c>
      <c r="E13" s="28"/>
      <c r="F13" s="47">
        <f t="shared" si="4"/>
        <v>917099</v>
      </c>
      <c r="G13" s="47">
        <f t="shared" si="0"/>
        <v>1007798</v>
      </c>
      <c r="H13" s="51">
        <f t="shared" si="2"/>
        <v>-8.9997201820205985E-2</v>
      </c>
      <c r="I13" s="28"/>
      <c r="J13" s="47">
        <v>30634</v>
      </c>
      <c r="K13" s="47">
        <v>31091</v>
      </c>
      <c r="L13" s="51">
        <f t="shared" si="3"/>
        <v>-1.4698787430446059E-2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v>879703</v>
      </c>
      <c r="C14" s="41">
        <v>969619</v>
      </c>
      <c r="D14" s="49">
        <f t="shared" si="1"/>
        <v>-9.2733331339422964E-2</v>
      </c>
      <c r="E14" s="28"/>
      <c r="F14" s="46">
        <f t="shared" si="4"/>
        <v>852643</v>
      </c>
      <c r="G14" s="46">
        <f t="shared" si="0"/>
        <v>940937</v>
      </c>
      <c r="H14" s="50">
        <f t="shared" si="2"/>
        <v>-9.3836250460976656E-2</v>
      </c>
      <c r="I14" s="48"/>
      <c r="J14" s="46">
        <v>27060</v>
      </c>
      <c r="K14" s="46">
        <v>28682</v>
      </c>
      <c r="L14" s="50">
        <f t="shared" si="3"/>
        <v>-5.6551147060874385E-2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930049</v>
      </c>
      <c r="C15" s="56">
        <v>1015935</v>
      </c>
      <c r="D15" s="54">
        <f t="shared" si="1"/>
        <v>-8.4538873057823594E-2</v>
      </c>
      <c r="F15" s="47">
        <f t="shared" si="4"/>
        <v>901419</v>
      </c>
      <c r="G15" s="47">
        <f t="shared" si="0"/>
        <v>988525</v>
      </c>
      <c r="H15" s="51">
        <f t="shared" si="2"/>
        <v>-8.811714423003969E-2</v>
      </c>
      <c r="J15" s="47">
        <v>28630</v>
      </c>
      <c r="K15" s="47">
        <v>27410</v>
      </c>
      <c r="L15" s="51">
        <f t="shared" si="3"/>
        <v>4.4509303174024017E-2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882996</v>
      </c>
      <c r="C16" s="58">
        <v>954228</v>
      </c>
      <c r="D16" s="49">
        <f t="shared" si="1"/>
        <v>-7.4648826066726182E-2</v>
      </c>
      <c r="F16" s="46">
        <f t="shared" si="4"/>
        <v>853540</v>
      </c>
      <c r="G16" s="46">
        <f t="shared" si="0"/>
        <v>931444</v>
      </c>
      <c r="H16" s="50">
        <f t="shared" si="2"/>
        <v>-8.3637878390971476E-2</v>
      </c>
      <c r="J16" s="46">
        <v>29456</v>
      </c>
      <c r="K16" s="46">
        <v>22784</v>
      </c>
      <c r="L16" s="50">
        <f t="shared" si="3"/>
        <v>0.2928370786516854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v>941651</v>
      </c>
      <c r="C17" s="56">
        <v>876398</v>
      </c>
      <c r="D17" s="54">
        <f t="shared" si="1"/>
        <v>7.445589789114071E-2</v>
      </c>
      <c r="F17" s="47">
        <f t="shared" si="4"/>
        <v>911610</v>
      </c>
      <c r="G17" s="47">
        <f t="shared" si="0"/>
        <v>854109</v>
      </c>
      <c r="H17" s="51">
        <f t="shared" si="2"/>
        <v>6.7322789011706963E-2</v>
      </c>
      <c r="J17" s="47">
        <v>30041</v>
      </c>
      <c r="K17" s="47">
        <v>22289</v>
      </c>
      <c r="L17" s="51">
        <f t="shared" si="3"/>
        <v>0.3477948763964287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11089405</v>
      </c>
      <c r="C18" s="42">
        <f>SUM(C6:C17)</f>
        <v>11741325</v>
      </c>
      <c r="D18" s="49">
        <f t="shared" si="1"/>
        <v>-5.5523546107445254E-2</v>
      </c>
      <c r="F18" s="42">
        <f>SUM(F6:F17)</f>
        <v>10733317</v>
      </c>
      <c r="G18" s="42">
        <f>SUM(G6:G17)</f>
        <v>11384603</v>
      </c>
      <c r="H18" s="49">
        <f t="shared" si="2"/>
        <v>-5.7207616286663709E-2</v>
      </c>
      <c r="J18" s="42">
        <f>SUM(J6:J17)</f>
        <v>356088</v>
      </c>
      <c r="K18" s="42">
        <f>SUM(K6:K17)</f>
        <v>356722</v>
      </c>
      <c r="L18" s="49">
        <f t="shared" si="3"/>
        <v>-1.777294363678128E-3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A1:AX23"/>
  <sheetViews>
    <sheetView zoomScaleNormal="100" zoomScaleSheetLayoutView="90" workbookViewId="0">
      <selection activeCell="C19" sqref="C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 t="shared" ref="B6:C10" si="0">F6+J6</f>
        <v>934435</v>
      </c>
      <c r="C6" s="41">
        <f t="shared" si="0"/>
        <v>914507</v>
      </c>
      <c r="D6" s="49">
        <f>B6/C6-1</f>
        <v>2.1790975902863607E-2</v>
      </c>
      <c r="E6" s="28"/>
      <c r="F6" s="46">
        <f>396638+44245+215+407731+44489+342</f>
        <v>893660</v>
      </c>
      <c r="G6" s="46">
        <f>408110+30579+373+408159+31316+441</f>
        <v>878978</v>
      </c>
      <c r="H6" s="49">
        <f>F6/G6-1</f>
        <v>1.6703489734669175E-2</v>
      </c>
      <c r="I6" s="28"/>
      <c r="J6" s="46">
        <f>19206+21569</f>
        <v>40775</v>
      </c>
      <c r="K6" s="46">
        <f>18299+17230</f>
        <v>35529</v>
      </c>
      <c r="L6" s="49">
        <f>J6/K6-1</f>
        <v>0.1476540291029862</v>
      </c>
    </row>
    <row r="7" spans="1:50" ht="25" customHeight="1" x14ac:dyDescent="0.25">
      <c r="A7" s="61" t="s">
        <v>4</v>
      </c>
      <c r="B7" s="56">
        <f t="shared" si="0"/>
        <v>905134</v>
      </c>
      <c r="C7" s="56">
        <f t="shared" si="0"/>
        <v>891631</v>
      </c>
      <c r="D7" s="54">
        <f>B7/C7-1</f>
        <v>1.514415716815587E-2</v>
      </c>
      <c r="E7" s="28"/>
      <c r="F7" s="47">
        <f>396484+40280+394539+39511</f>
        <v>870814</v>
      </c>
      <c r="G7" s="47">
        <f>400318+30410+189+399265+30350+189</f>
        <v>860721</v>
      </c>
      <c r="H7" s="51">
        <f>F7/G7-1</f>
        <v>1.1726215579729082E-2</v>
      </c>
      <c r="I7" s="28"/>
      <c r="J7" s="47">
        <f>18711+15609</f>
        <v>34320</v>
      </c>
      <c r="K7" s="47">
        <f>14345+16565</f>
        <v>30910</v>
      </c>
      <c r="L7" s="51">
        <f>J7/K7-1</f>
        <v>0.11032028469750887</v>
      </c>
      <c r="N7" s="2"/>
      <c r="O7" s="2"/>
    </row>
    <row r="8" spans="1:50" ht="25" customHeight="1" x14ac:dyDescent="0.25">
      <c r="A8" s="60" t="s">
        <v>5</v>
      </c>
      <c r="B8" s="41">
        <f t="shared" si="0"/>
        <v>1088148</v>
      </c>
      <c r="C8" s="41">
        <f t="shared" si="0"/>
        <v>1067610</v>
      </c>
      <c r="D8" s="49">
        <f t="shared" ref="D8:D18" si="1">B8/C8-1</f>
        <v>1.9237361958018395E-2</v>
      </c>
      <c r="E8" s="28"/>
      <c r="F8" s="46">
        <f>485591+45084+477201+44759</f>
        <v>1052635</v>
      </c>
      <c r="G8" s="46">
        <f>486802+37136+340+475808+36263+660</f>
        <v>1037009</v>
      </c>
      <c r="H8" s="50">
        <f t="shared" ref="H8:H18" si="2">F8/G8-1</f>
        <v>1.5068335954654177E-2</v>
      </c>
      <c r="I8" s="28"/>
      <c r="J8" s="46">
        <f>16915+18598</f>
        <v>35513</v>
      </c>
      <c r="K8" s="46">
        <f>14537+16064</f>
        <v>30601</v>
      </c>
      <c r="L8" s="50">
        <f t="shared" ref="L8:L18" si="3">J8/K8-1</f>
        <v>0.16051763014280573</v>
      </c>
      <c r="N8" s="2"/>
      <c r="O8" s="2"/>
    </row>
    <row r="9" spans="1:50" ht="25" customHeight="1" x14ac:dyDescent="0.25">
      <c r="A9" s="61" t="s">
        <v>6</v>
      </c>
      <c r="B9" s="56">
        <f t="shared" si="0"/>
        <v>1111287</v>
      </c>
      <c r="C9" s="56">
        <f>G9+K9</f>
        <v>1087141</v>
      </c>
      <c r="D9" s="54">
        <f t="shared" si="1"/>
        <v>2.2210550425381781E-2</v>
      </c>
      <c r="E9" s="28"/>
      <c r="F9" s="47">
        <f>495222+43278+314+502817+42776+382</f>
        <v>1084789</v>
      </c>
      <c r="G9" s="47">
        <f>490093+35695+434+495425+35965+430</f>
        <v>1058042</v>
      </c>
      <c r="H9" s="51">
        <f t="shared" si="2"/>
        <v>2.5279714793930763E-2</v>
      </c>
      <c r="I9" s="28"/>
      <c r="J9" s="47">
        <f>12357+14141</f>
        <v>26498</v>
      </c>
      <c r="K9" s="47">
        <f>13361+15738</f>
        <v>29099</v>
      </c>
      <c r="L9" s="51">
        <f t="shared" si="3"/>
        <v>-8.9384514931784564E-2</v>
      </c>
      <c r="N9" s="2"/>
    </row>
    <row r="10" spans="1:50" ht="25" customHeight="1" x14ac:dyDescent="0.25">
      <c r="A10" s="60" t="s">
        <v>7</v>
      </c>
      <c r="B10" s="41">
        <f t="shared" si="0"/>
        <v>1192493</v>
      </c>
      <c r="C10" s="41">
        <f>G10+K10</f>
        <v>1127263</v>
      </c>
      <c r="D10" s="49">
        <f t="shared" si="1"/>
        <v>5.7865821906688986E-2</v>
      </c>
      <c r="E10" s="28"/>
      <c r="F10" s="46">
        <f>534173+46528+536011+46901</f>
        <v>1163613</v>
      </c>
      <c r="G10" s="46">
        <f>513754+37361+522665+36594</f>
        <v>1110374</v>
      </c>
      <c r="H10" s="50">
        <f t="shared" si="2"/>
        <v>4.7946907978753117E-2</v>
      </c>
      <c r="I10" s="28"/>
      <c r="J10" s="46">
        <f>14125+14755</f>
        <v>28880</v>
      </c>
      <c r="K10" s="46">
        <f>15404+1485</f>
        <v>16889</v>
      </c>
      <c r="L10" s="50">
        <f t="shared" si="3"/>
        <v>0.70998875007401274</v>
      </c>
    </row>
    <row r="11" spans="1:50" ht="25" customHeight="1" x14ac:dyDescent="0.25">
      <c r="A11" s="61" t="s">
        <v>8</v>
      </c>
      <c r="B11" s="56">
        <f>F11+J11</f>
        <v>1262523</v>
      </c>
      <c r="C11" s="56">
        <v>1170821</v>
      </c>
      <c r="D11" s="54">
        <f t="shared" si="1"/>
        <v>7.8322817920074783E-2</v>
      </c>
      <c r="E11" s="28"/>
      <c r="F11" s="47">
        <f>572505+46534+200+557579+45936+200</f>
        <v>1222954</v>
      </c>
      <c r="G11" s="47">
        <f>537763+38647+523318+36478</f>
        <v>1136206</v>
      </c>
      <c r="H11" s="51">
        <f t="shared" si="2"/>
        <v>7.6348831109851467E-2</v>
      </c>
      <c r="I11" s="28"/>
      <c r="J11" s="47">
        <f>20830+18739</f>
        <v>39569</v>
      </c>
      <c r="K11" s="47">
        <f>C11-G11</f>
        <v>34615</v>
      </c>
      <c r="L11" s="51">
        <f t="shared" si="3"/>
        <v>0.14311714574606382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F12+J12</f>
        <v>1286472</v>
      </c>
      <c r="C12" s="41">
        <f t="shared" ref="C12:C17" si="4">G12+K12</f>
        <v>1182372</v>
      </c>
      <c r="D12" s="49">
        <f t="shared" si="1"/>
        <v>8.8043356913052762E-2</v>
      </c>
      <c r="E12" s="28"/>
      <c r="F12" s="46">
        <f>569858+46938+68+574103+46902+140</f>
        <v>1238009</v>
      </c>
      <c r="G12" s="46">
        <f>528161+39324+224+534944+37960+101</f>
        <v>1140714</v>
      </c>
      <c r="H12" s="50">
        <f t="shared" si="2"/>
        <v>8.5293070831075957E-2</v>
      </c>
      <c r="I12" s="28"/>
      <c r="J12" s="46">
        <f>25058+23405</f>
        <v>48463</v>
      </c>
      <c r="K12" s="46">
        <f>20535+21123</f>
        <v>41658</v>
      </c>
      <c r="L12" s="50">
        <f t="shared" si="3"/>
        <v>0.16335397762734649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F13+J13</f>
        <v>1218689</v>
      </c>
      <c r="C13" s="56">
        <f t="shared" si="4"/>
        <v>1131384</v>
      </c>
      <c r="D13" s="54">
        <f t="shared" si="1"/>
        <v>7.7166549995403955E-2</v>
      </c>
      <c r="E13" s="28"/>
      <c r="F13" s="47">
        <f>543220+44570+545826+45795+94</f>
        <v>1179505</v>
      </c>
      <c r="G13" s="47">
        <f>506003+38734+513163+38593</f>
        <v>1096493</v>
      </c>
      <c r="H13" s="51">
        <f t="shared" si="2"/>
        <v>7.5706821657776091E-2</v>
      </c>
      <c r="I13" s="28"/>
      <c r="J13" s="47">
        <f>21665+17519</f>
        <v>39184</v>
      </c>
      <c r="K13" s="47">
        <f>15674+19217</f>
        <v>34891</v>
      </c>
      <c r="L13" s="51">
        <f t="shared" si="3"/>
        <v>0.12304032558539446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f>F14+J14</f>
        <v>1152438</v>
      </c>
      <c r="C14" s="41">
        <f t="shared" si="4"/>
        <v>1074992</v>
      </c>
      <c r="D14" s="49">
        <f t="shared" si="1"/>
        <v>7.2043326834060117E-2</v>
      </c>
      <c r="E14" s="28"/>
      <c r="F14" s="46">
        <v>1124556</v>
      </c>
      <c r="G14" s="46">
        <f>489505+37828+483113+38190</f>
        <v>1048636</v>
      </c>
      <c r="H14" s="50">
        <f t="shared" si="2"/>
        <v>7.2398811408343811E-2</v>
      </c>
      <c r="I14" s="48"/>
      <c r="J14" s="46">
        <f>13742+14140</f>
        <v>27882</v>
      </c>
      <c r="K14" s="46">
        <f>12914+13442</f>
        <v>26356</v>
      </c>
      <c r="L14" s="50">
        <f t="shared" si="3"/>
        <v>5.7899529518895099E-2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1217088</v>
      </c>
      <c r="C15" s="56">
        <f t="shared" si="4"/>
        <v>1143735</v>
      </c>
      <c r="D15" s="54">
        <f t="shared" si="1"/>
        <v>6.4134611601463609E-2</v>
      </c>
      <c r="F15" s="47">
        <f>545550+46137+355+548001+46416+299</f>
        <v>1186758</v>
      </c>
      <c r="G15" s="47">
        <f>513387+39590+482+521952+40254+365</f>
        <v>1116030</v>
      </c>
      <c r="H15" s="51">
        <f t="shared" si="2"/>
        <v>6.3374640466654197E-2</v>
      </c>
      <c r="J15" s="47">
        <f>15453+14877</f>
        <v>30330</v>
      </c>
      <c r="K15" s="47">
        <f>13639+14066</f>
        <v>27705</v>
      </c>
      <c r="L15" s="51">
        <f t="shared" si="3"/>
        <v>9.4748240389821436E-2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1116172</v>
      </c>
      <c r="C16" s="58">
        <f t="shared" si="4"/>
        <v>1092639</v>
      </c>
      <c r="D16" s="49">
        <f t="shared" si="1"/>
        <v>2.1537763158737677E-2</v>
      </c>
      <c r="F16" s="46">
        <f>491420+46678+471+496737+46871+756</f>
        <v>1082933</v>
      </c>
      <c r="G16" s="46">
        <f>492672+41770+292+490332+42294+285</f>
        <v>1067645</v>
      </c>
      <c r="H16" s="50">
        <f t="shared" si="2"/>
        <v>1.4319366456078564E-2</v>
      </c>
      <c r="J16" s="46">
        <f>17978+15261</f>
        <v>33239</v>
      </c>
      <c r="K16" s="46">
        <f>13052+11942</f>
        <v>24994</v>
      </c>
      <c r="L16" s="50">
        <f t="shared" si="3"/>
        <v>0.32987917100104025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f>F17+J17</f>
        <v>1148525</v>
      </c>
      <c r="C17" s="56">
        <f t="shared" si="4"/>
        <v>1079541</v>
      </c>
      <c r="D17" s="54">
        <f t="shared" si="1"/>
        <v>6.3901232097715699E-2</v>
      </c>
      <c r="F17" s="47">
        <f>507023+48033+459+504791+46922+521</f>
        <v>1107749</v>
      </c>
      <c r="G17" s="47">
        <f>479617+43988+644+477005+41412+603</f>
        <v>1043269</v>
      </c>
      <c r="H17" s="51">
        <f t="shared" si="2"/>
        <v>6.1805727957027434E-2</v>
      </c>
      <c r="J17" s="47">
        <f>18056+22720</f>
        <v>40776</v>
      </c>
      <c r="K17" s="47">
        <f>21209+15063</f>
        <v>36272</v>
      </c>
      <c r="L17" s="51">
        <f t="shared" si="3"/>
        <v>0.12417291574768408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13633404</v>
      </c>
      <c r="C18" s="42">
        <f>SUM(C6:C17)</f>
        <v>12963636</v>
      </c>
      <c r="D18" s="49">
        <f t="shared" si="1"/>
        <v>5.1665134689064196E-2</v>
      </c>
      <c r="F18" s="42">
        <f>SUM(F6:F17)</f>
        <v>13207975</v>
      </c>
      <c r="G18" s="42">
        <f>SUM(G6:G17)</f>
        <v>12594117</v>
      </c>
      <c r="H18" s="49">
        <f t="shared" si="2"/>
        <v>4.8741646595787502E-2</v>
      </c>
      <c r="J18" s="42">
        <f>SUM(J6:J17)</f>
        <v>425429</v>
      </c>
      <c r="K18" s="42">
        <f>SUM(K6:K17)</f>
        <v>369519</v>
      </c>
      <c r="L18" s="49">
        <f t="shared" si="3"/>
        <v>0.15130480435376792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  <pageSetUpPr fitToPage="1"/>
  </sheetPr>
  <dimension ref="A1:AX23"/>
  <sheetViews>
    <sheetView zoomScaleNormal="100" zoomScaleSheetLayoutView="100" workbookViewId="0">
      <selection activeCell="K19" sqref="K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75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77" t="s">
        <v>49</v>
      </c>
      <c r="C3" s="77"/>
      <c r="D3" s="77"/>
      <c r="E3" s="37"/>
      <c r="F3" s="76" t="s">
        <v>15</v>
      </c>
      <c r="G3" s="76"/>
      <c r="H3" s="76"/>
      <c r="I3" s="37"/>
      <c r="J3" s="76" t="s">
        <v>16</v>
      </c>
      <c r="K3" s="76"/>
      <c r="L3" s="7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1705583</v>
      </c>
      <c r="C6" s="41">
        <f>SUM(G6,K6)</f>
        <v>1678656</v>
      </c>
      <c r="D6" s="49">
        <f>B6/C6-1</f>
        <v>1.6040808837546328E-2</v>
      </c>
      <c r="E6" s="28"/>
      <c r="F6" s="46">
        <v>1638681</v>
      </c>
      <c r="G6" s="46">
        <v>1615332</v>
      </c>
      <c r="H6" s="50">
        <f t="shared" ref="H6:H18" si="0">F6/G6-1</f>
        <v>1.4454613664559357E-2</v>
      </c>
      <c r="I6" s="28"/>
      <c r="J6" s="46">
        <v>66902</v>
      </c>
      <c r="K6" s="46">
        <v>63324</v>
      </c>
      <c r="L6" s="49">
        <f>J6/K6-1</f>
        <v>5.650306360937396E-2</v>
      </c>
    </row>
    <row r="7" spans="1:50" ht="25" customHeight="1" x14ac:dyDescent="0.25">
      <c r="A7" s="61" t="s">
        <v>4</v>
      </c>
      <c r="B7" s="56">
        <v>1696831</v>
      </c>
      <c r="C7" s="56">
        <f t="shared" ref="C7:C17" si="1">SUM(G7,K7)</f>
        <v>1626621</v>
      </c>
      <c r="D7" s="54">
        <f>B7/C7-1</f>
        <v>4.3163096996780448E-2</v>
      </c>
      <c r="E7" s="28"/>
      <c r="F7" s="47">
        <v>1636516</v>
      </c>
      <c r="G7" s="47">
        <v>1568539</v>
      </c>
      <c r="H7" s="51">
        <f>F7/G7-1</f>
        <v>4.3337781209138004E-2</v>
      </c>
      <c r="I7" s="28"/>
      <c r="J7" s="47">
        <v>60315</v>
      </c>
      <c r="K7" s="47">
        <v>58082</v>
      </c>
      <c r="L7" s="51">
        <f>J7/K7-1</f>
        <v>3.8445645811094664E-2</v>
      </c>
      <c r="N7" s="2"/>
      <c r="O7" s="2"/>
    </row>
    <row r="8" spans="1:50" ht="25" customHeight="1" x14ac:dyDescent="0.25">
      <c r="A8" s="60" t="s">
        <v>5</v>
      </c>
      <c r="B8" s="41">
        <f>F8+J8</f>
        <v>2030654</v>
      </c>
      <c r="C8" s="41">
        <f t="shared" si="1"/>
        <v>1964122</v>
      </c>
      <c r="D8" s="49">
        <f t="shared" ref="D8:D18" si="2">B8/C8-1</f>
        <v>3.3873659579191084E-2</v>
      </c>
      <c r="E8" s="28"/>
      <c r="F8" s="46">
        <v>1955110</v>
      </c>
      <c r="G8" s="46">
        <v>1890364</v>
      </c>
      <c r="H8" s="50">
        <f t="shared" si="0"/>
        <v>3.4250546455603326E-2</v>
      </c>
      <c r="I8" s="28"/>
      <c r="J8" s="46">
        <v>75544</v>
      </c>
      <c r="K8" s="46">
        <v>73758</v>
      </c>
      <c r="L8" s="50">
        <f t="shared" ref="L8:L18" si="3">J8/K8-1</f>
        <v>2.4214322514167996E-2</v>
      </c>
      <c r="N8" s="2"/>
      <c r="O8" s="2"/>
    </row>
    <row r="9" spans="1:50" ht="25" customHeight="1" x14ac:dyDescent="0.25">
      <c r="A9" s="61" t="s">
        <v>6</v>
      </c>
      <c r="B9" s="56">
        <v>1696831</v>
      </c>
      <c r="C9" s="56">
        <f t="shared" si="1"/>
        <v>1987526</v>
      </c>
      <c r="D9" s="54">
        <f t="shared" si="2"/>
        <v>-0.14625972188539926</v>
      </c>
      <c r="E9" s="28"/>
      <c r="F9" s="47">
        <v>1982130</v>
      </c>
      <c r="G9" s="47">
        <v>1916422</v>
      </c>
      <c r="H9" s="51">
        <f t="shared" si="0"/>
        <v>3.4286811568641884E-2</v>
      </c>
      <c r="I9" s="28"/>
      <c r="J9" s="47">
        <v>82163</v>
      </c>
      <c r="K9" s="47">
        <v>71104</v>
      </c>
      <c r="L9" s="51">
        <f t="shared" si="3"/>
        <v>0.15553274077407742</v>
      </c>
      <c r="N9" s="2"/>
    </row>
    <row r="10" spans="1:50" ht="25" customHeight="1" x14ac:dyDescent="0.25">
      <c r="A10" s="60" t="s">
        <v>7</v>
      </c>
      <c r="B10" s="41">
        <f>F10+J10</f>
        <v>2180815</v>
      </c>
      <c r="C10" s="41">
        <f t="shared" si="1"/>
        <v>2032128</v>
      </c>
      <c r="D10" s="49">
        <f t="shared" si="2"/>
        <v>7.3168127204585431E-2</v>
      </c>
      <c r="E10" s="28"/>
      <c r="F10" s="46">
        <v>2093921</v>
      </c>
      <c r="G10" s="46">
        <v>1959800</v>
      </c>
      <c r="H10" s="50">
        <f t="shared" si="0"/>
        <v>6.8436064904582095E-2</v>
      </c>
      <c r="I10" s="28"/>
      <c r="J10" s="46">
        <v>86894</v>
      </c>
      <c r="K10" s="46">
        <v>72328</v>
      </c>
      <c r="L10" s="50">
        <f t="shared" si="3"/>
        <v>0.2013881207830992</v>
      </c>
    </row>
    <row r="11" spans="1:50" ht="25" customHeight="1" x14ac:dyDescent="0.25">
      <c r="A11" s="61" t="s">
        <v>8</v>
      </c>
      <c r="B11" s="56">
        <v>2334084</v>
      </c>
      <c r="C11" s="56">
        <f t="shared" si="1"/>
        <v>2193682</v>
      </c>
      <c r="D11" s="54">
        <f t="shared" si="2"/>
        <v>6.40028955883305E-2</v>
      </c>
      <c r="E11" s="28"/>
      <c r="F11" s="47">
        <v>2233355</v>
      </c>
      <c r="G11" s="47">
        <v>2108559</v>
      </c>
      <c r="H11" s="51">
        <f t="shared" si="0"/>
        <v>5.9185443708238639E-2</v>
      </c>
      <c r="I11" s="28"/>
      <c r="J11" s="47">
        <v>100729</v>
      </c>
      <c r="K11" s="47">
        <v>85123</v>
      </c>
      <c r="L11" s="51">
        <f t="shared" si="3"/>
        <v>0.18333470389906381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F12+J12</f>
        <v>2449528</v>
      </c>
      <c r="C12" s="41">
        <f t="shared" si="1"/>
        <v>2323018</v>
      </c>
      <c r="D12" s="49">
        <f t="shared" si="2"/>
        <v>5.4459328339255153E-2</v>
      </c>
      <c r="E12" s="28"/>
      <c r="F12" s="46">
        <v>2334210</v>
      </c>
      <c r="G12" s="46">
        <v>2221846</v>
      </c>
      <c r="H12" s="50">
        <f t="shared" si="0"/>
        <v>5.0572361900869778E-2</v>
      </c>
      <c r="I12" s="28"/>
      <c r="J12" s="46">
        <v>115318</v>
      </c>
      <c r="K12" s="46">
        <v>101172</v>
      </c>
      <c r="L12" s="50">
        <f t="shared" si="3"/>
        <v>0.1398212944292887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F13+J13</f>
        <v>2329113</v>
      </c>
      <c r="C13" s="56">
        <f t="shared" si="1"/>
        <v>2140994</v>
      </c>
      <c r="D13" s="54">
        <f t="shared" si="2"/>
        <v>8.7865262583641135E-2</v>
      </c>
      <c r="E13" s="28"/>
      <c r="F13" s="47">
        <v>2228992</v>
      </c>
      <c r="G13" s="47">
        <v>2051146</v>
      </c>
      <c r="H13" s="51">
        <f t="shared" si="0"/>
        <v>8.6705675753944389E-2</v>
      </c>
      <c r="I13" s="28"/>
      <c r="J13" s="47">
        <v>100121</v>
      </c>
      <c r="K13" s="47">
        <v>89848</v>
      </c>
      <c r="L13" s="51">
        <f t="shared" si="3"/>
        <v>0.11433754785860573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>
        <f>F14+J14</f>
        <v>2085034</v>
      </c>
      <c r="C14" s="41">
        <f t="shared" si="1"/>
        <v>1989756</v>
      </c>
      <c r="D14" s="49">
        <f t="shared" si="2"/>
        <v>4.7884263196090293E-2</v>
      </c>
      <c r="E14" s="28"/>
      <c r="F14" s="46">
        <v>2003750</v>
      </c>
      <c r="G14" s="46">
        <v>1917755</v>
      </c>
      <c r="H14" s="50">
        <f t="shared" si="0"/>
        <v>4.4841494351468336E-2</v>
      </c>
      <c r="I14" s="48"/>
      <c r="J14" s="46">
        <v>81284</v>
      </c>
      <c r="K14" s="46">
        <v>72001</v>
      </c>
      <c r="L14" s="50">
        <f t="shared" si="3"/>
        <v>0.12892876487826554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>
        <v>2197193</v>
      </c>
      <c r="C15" s="56">
        <f t="shared" si="1"/>
        <v>2113443</v>
      </c>
      <c r="D15" s="54">
        <f t="shared" si="2"/>
        <v>3.962728117105585E-2</v>
      </c>
      <c r="F15" s="47">
        <v>2115189</v>
      </c>
      <c r="G15" s="47">
        <v>2041164</v>
      </c>
      <c r="H15" s="51">
        <f t="shared" si="0"/>
        <v>3.6266071712023118E-2</v>
      </c>
      <c r="J15" s="47">
        <v>82004</v>
      </c>
      <c r="K15" s="47">
        <v>72279</v>
      </c>
      <c r="L15" s="51">
        <f t="shared" si="3"/>
        <v>0.13454807067059593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41">
        <v>2048882</v>
      </c>
      <c r="C16" s="58">
        <f t="shared" si="1"/>
        <v>2008334</v>
      </c>
      <c r="D16" s="49">
        <f t="shared" si="2"/>
        <v>2.0189868816641088E-2</v>
      </c>
      <c r="F16" s="46">
        <v>1975261</v>
      </c>
      <c r="G16" s="46">
        <v>1936518</v>
      </c>
      <c r="H16" s="50">
        <f t="shared" si="0"/>
        <v>2.0006527179194933E-2</v>
      </c>
      <c r="J16" s="46">
        <v>73621</v>
      </c>
      <c r="K16" s="46">
        <v>71816</v>
      </c>
      <c r="L16" s="50">
        <f t="shared" si="3"/>
        <v>2.5133674947086959E-2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>
        <f>F17+J17</f>
        <v>2119909</v>
      </c>
      <c r="C17" s="56">
        <f t="shared" si="1"/>
        <v>2003327</v>
      </c>
      <c r="D17" s="54">
        <f t="shared" si="2"/>
        <v>5.8194193958350349E-2</v>
      </c>
      <c r="F17" s="47">
        <v>2042945</v>
      </c>
      <c r="G17" s="47">
        <v>1926252</v>
      </c>
      <c r="H17" s="51">
        <f t="shared" si="0"/>
        <v>6.0580339436376862E-2</v>
      </c>
      <c r="J17" s="47">
        <v>76964</v>
      </c>
      <c r="K17" s="47">
        <v>77075</v>
      </c>
      <c r="L17" s="51">
        <f t="shared" si="3"/>
        <v>-1.4401556925073278E-3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24874457</v>
      </c>
      <c r="C18" s="42">
        <f>SUM(C6:C17)</f>
        <v>24061607</v>
      </c>
      <c r="D18" s="49">
        <f t="shared" si="2"/>
        <v>3.3782032929055905E-2</v>
      </c>
      <c r="F18" s="42">
        <f>SUM(F6:F17)</f>
        <v>24240060</v>
      </c>
      <c r="G18" s="42">
        <f>SUM(G6:G17)</f>
        <v>23153697</v>
      </c>
      <c r="H18" s="49">
        <f t="shared" si="0"/>
        <v>4.691963447565195E-2</v>
      </c>
      <c r="I18" s="42"/>
      <c r="J18" s="42">
        <f>SUM(J6:J17)</f>
        <v>1001859</v>
      </c>
      <c r="K18" s="42">
        <f>SUM(K6:K17)</f>
        <v>907910</v>
      </c>
      <c r="L18" s="49">
        <f t="shared" si="3"/>
        <v>0.1034783183355179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CALIFORNIA</vt:lpstr>
      <vt:lpstr>Los Angeles</vt:lpstr>
      <vt:lpstr>Burbank</vt:lpstr>
      <vt:lpstr>Long Beach</vt:lpstr>
      <vt:lpstr>Oakland</vt:lpstr>
      <vt:lpstr>Ontario</vt:lpstr>
      <vt:lpstr>Orange County</vt:lpstr>
      <vt:lpstr>Sacramento</vt:lpstr>
      <vt:lpstr>San Diego</vt:lpstr>
      <vt:lpstr>San Francisco</vt:lpstr>
      <vt:lpstr>San Jose</vt:lpstr>
      <vt:lpstr>High Low stats</vt:lpstr>
      <vt:lpstr>Burbank!Print_Area</vt:lpstr>
      <vt:lpstr>CALIFORNIA!Print_Area</vt:lpstr>
      <vt:lpstr>'High Low stats'!Print_Area</vt:lpstr>
      <vt:lpstr>'Long Beach'!Print_Area</vt:lpstr>
      <vt:lpstr>'Los Angeles'!Print_Area</vt:lpstr>
      <vt:lpstr>Oakland!Print_Area</vt:lpstr>
      <vt:lpstr>Ontario!Print_Area</vt:lpstr>
      <vt:lpstr>'Orange County'!Print_Area</vt:lpstr>
      <vt:lpstr>Sacramento!Print_Area</vt:lpstr>
      <vt:lpstr>'San Francisco'!Print_Area</vt:lpstr>
      <vt:lpstr>'San Jose'!Print_Area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temp1</dc:creator>
  <cp:lastModifiedBy>Ani Chibukhchyan</cp:lastModifiedBy>
  <cp:lastPrinted>2019-08-08T15:34:37Z</cp:lastPrinted>
  <dcterms:created xsi:type="dcterms:W3CDTF">2008-12-18T23:04:54Z</dcterms:created>
  <dcterms:modified xsi:type="dcterms:W3CDTF">2025-02-25T18:58:53Z</dcterms:modified>
</cp:coreProperties>
</file>